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480" yWindow="-75" windowWidth="24840" windowHeight="18240" tabRatio="500"/>
  </bookViews>
  <sheets>
    <sheet name="Sheet1" sheetId="1" r:id="rId1"/>
    <sheet name="Sheet2" sheetId="2" r:id="rId2"/>
  </sheets>
  <definedNames>
    <definedName name="_xlnm.Print_Area" localSheetId="0">Sheet1!$A$1:$AB$53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50" i="1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C24"/>
  <c r="C52" s="1"/>
  <c r="C53" s="1"/>
  <c r="B30"/>
  <c r="B36" s="1"/>
  <c r="C47"/>
  <c r="C23"/>
  <c r="D23"/>
  <c r="D22"/>
  <c r="D25"/>
  <c r="D26"/>
  <c r="D29"/>
  <c r="D21"/>
  <c r="E21" s="1"/>
  <c r="F21" s="1"/>
  <c r="G21" s="1"/>
  <c r="H21" s="1"/>
  <c r="I21" s="1"/>
  <c r="J21" s="1"/>
  <c r="K21" s="1"/>
  <c r="L21" s="1"/>
  <c r="M21" s="1"/>
  <c r="N21" s="1"/>
  <c r="O21" s="1"/>
  <c r="P21" s="1"/>
  <c r="Q21" s="1"/>
  <c r="R21" s="1"/>
  <c r="S21" s="1"/>
  <c r="T21" s="1"/>
  <c r="U21" s="1"/>
  <c r="V21" s="1"/>
  <c r="W21" s="1"/>
  <c r="X21" s="1"/>
  <c r="Y21" s="1"/>
  <c r="Z21" s="1"/>
  <c r="AA21" s="1"/>
  <c r="C25"/>
  <c r="C27" s="1"/>
  <c r="F1" i="2" s="1"/>
  <c r="C26" i="1"/>
  <c r="C29"/>
  <c r="E22"/>
  <c r="E26"/>
  <c r="E29"/>
  <c r="B46"/>
  <c r="C59"/>
  <c r="C60" s="1"/>
  <c r="C61" s="1"/>
  <c r="C62" s="1"/>
  <c r="C63" s="1"/>
  <c r="C64" s="1"/>
  <c r="C65" s="1"/>
  <c r="C66" s="1"/>
  <c r="C67" s="1"/>
  <c r="E57"/>
  <c r="F57" s="1"/>
  <c r="G57" s="1"/>
  <c r="H57" s="1"/>
  <c r="I57" s="1"/>
  <c r="J57" s="1"/>
  <c r="K57" s="1"/>
  <c r="L57" s="1"/>
  <c r="M57" s="1"/>
  <c r="D27" l="1"/>
  <c r="F7" i="2"/>
  <c r="F6"/>
  <c r="F4"/>
  <c r="F5"/>
  <c r="F9"/>
  <c r="F8"/>
  <c r="C28" i="1"/>
  <c r="C30" s="1"/>
  <c r="C31" s="1"/>
  <c r="F33"/>
  <c r="J33"/>
  <c r="N33"/>
  <c r="R33"/>
  <c r="V33"/>
  <c r="Z33"/>
  <c r="D33"/>
  <c r="E33"/>
  <c r="I33"/>
  <c r="M33"/>
  <c r="Q33"/>
  <c r="H33"/>
  <c r="L33"/>
  <c r="P33"/>
  <c r="T33"/>
  <c r="X33"/>
  <c r="C33"/>
  <c r="G33"/>
  <c r="K33"/>
  <c r="O33"/>
  <c r="W33"/>
  <c r="U33"/>
  <c r="S33"/>
  <c r="Y33"/>
  <c r="AA33"/>
  <c r="E23"/>
  <c r="D24"/>
  <c r="D52" s="1"/>
  <c r="D53" s="1"/>
  <c r="F22"/>
  <c r="E25"/>
  <c r="E27" s="1"/>
  <c r="AB33" l="1"/>
  <c r="D28"/>
  <c r="D30" s="1"/>
  <c r="D31" s="1"/>
  <c r="C32"/>
  <c r="F29"/>
  <c r="F26"/>
  <c r="F25"/>
  <c r="G22"/>
  <c r="E24"/>
  <c r="E28" s="1"/>
  <c r="E30" s="1"/>
  <c r="F23"/>
  <c r="C34"/>
  <c r="D34" l="1"/>
  <c r="D35" s="1"/>
  <c r="F24"/>
  <c r="F52" s="1"/>
  <c r="F53" s="1"/>
  <c r="G23"/>
  <c r="C35"/>
  <c r="C37" s="1"/>
  <c r="G25"/>
  <c r="G27" s="1"/>
  <c r="H22"/>
  <c r="G26"/>
  <c r="G29"/>
  <c r="D32"/>
  <c r="E31"/>
  <c r="F27"/>
  <c r="E34"/>
  <c r="E52"/>
  <c r="E53" s="1"/>
  <c r="H26" l="1"/>
  <c r="H29"/>
  <c r="H25"/>
  <c r="I22"/>
  <c r="F28"/>
  <c r="F30" s="1"/>
  <c r="F31" s="1"/>
  <c r="E32"/>
  <c r="G24"/>
  <c r="G52" s="1"/>
  <c r="G53" s="1"/>
  <c r="H23"/>
  <c r="E35"/>
  <c r="E37" s="1"/>
  <c r="C36"/>
  <c r="D37"/>
  <c r="H27" l="1"/>
  <c r="F32"/>
  <c r="F34"/>
  <c r="J22"/>
  <c r="I25"/>
  <c r="I29"/>
  <c r="I26"/>
  <c r="G28"/>
  <c r="G30" s="1"/>
  <c r="G31" s="1"/>
  <c r="D36"/>
  <c r="C38"/>
  <c r="I23"/>
  <c r="H24"/>
  <c r="H28" l="1"/>
  <c r="H30" s="1"/>
  <c r="H34" s="1"/>
  <c r="I24"/>
  <c r="I52" s="1"/>
  <c r="I53" s="1"/>
  <c r="J23"/>
  <c r="J29"/>
  <c r="J26"/>
  <c r="J25"/>
  <c r="K22"/>
  <c r="G34"/>
  <c r="F35"/>
  <c r="F37" s="1"/>
  <c r="C42"/>
  <c r="C39"/>
  <c r="G32"/>
  <c r="H52"/>
  <c r="H53" s="1"/>
  <c r="D38"/>
  <c r="E36"/>
  <c r="I27"/>
  <c r="H31" l="1"/>
  <c r="H32" s="1"/>
  <c r="J27"/>
  <c r="I28"/>
  <c r="I30" s="1"/>
  <c r="I34" s="1"/>
  <c r="K25"/>
  <c r="L22"/>
  <c r="K29"/>
  <c r="K26"/>
  <c r="H35"/>
  <c r="H37" s="1"/>
  <c r="C43"/>
  <c r="G35"/>
  <c r="J24"/>
  <c r="J52" s="1"/>
  <c r="J53" s="1"/>
  <c r="K23"/>
  <c r="D42"/>
  <c r="D39"/>
  <c r="E38"/>
  <c r="F36"/>
  <c r="K27" l="1"/>
  <c r="I31"/>
  <c r="I32" s="1"/>
  <c r="F38"/>
  <c r="G36"/>
  <c r="K24"/>
  <c r="K52" s="1"/>
  <c r="K53" s="1"/>
  <c r="L23"/>
  <c r="E42"/>
  <c r="E39"/>
  <c r="C44"/>
  <c r="C48"/>
  <c r="C49" s="1"/>
  <c r="L26"/>
  <c r="L29"/>
  <c r="M22"/>
  <c r="L25"/>
  <c r="L27" s="1"/>
  <c r="I35"/>
  <c r="I37" s="1"/>
  <c r="J28"/>
  <c r="J30" s="1"/>
  <c r="G37"/>
  <c r="K28" l="1"/>
  <c r="K30" s="1"/>
  <c r="K34" s="1"/>
  <c r="F42"/>
  <c r="F39"/>
  <c r="C46"/>
  <c r="C45"/>
  <c r="D41" s="1"/>
  <c r="G38"/>
  <c r="G42" s="1"/>
  <c r="H36"/>
  <c r="N22"/>
  <c r="M25"/>
  <c r="M27" s="1"/>
  <c r="M29"/>
  <c r="M26"/>
  <c r="M23"/>
  <c r="L24"/>
  <c r="L52" s="1"/>
  <c r="L53" s="1"/>
  <c r="J34"/>
  <c r="D47"/>
  <c r="C50"/>
  <c r="J31"/>
  <c r="K31" l="1"/>
  <c r="J32"/>
  <c r="J35"/>
  <c r="J37" s="1"/>
  <c r="M24"/>
  <c r="M52" s="1"/>
  <c r="M53" s="1"/>
  <c r="N23"/>
  <c r="N29"/>
  <c r="N26"/>
  <c r="N25"/>
  <c r="O22"/>
  <c r="K35"/>
  <c r="L28"/>
  <c r="L30" s="1"/>
  <c r="G39"/>
  <c r="H38"/>
  <c r="I36"/>
  <c r="D43"/>
  <c r="N27" l="1"/>
  <c r="M28"/>
  <c r="M30" s="1"/>
  <c r="M34" s="1"/>
  <c r="K32"/>
  <c r="L31"/>
  <c r="L34"/>
  <c r="O25"/>
  <c r="O27" s="1"/>
  <c r="P22"/>
  <c r="O26"/>
  <c r="O29"/>
  <c r="N24"/>
  <c r="N52" s="1"/>
  <c r="N53" s="1"/>
  <c r="O23"/>
  <c r="I38"/>
  <c r="J36"/>
  <c r="H42"/>
  <c r="H39"/>
  <c r="D48"/>
  <c r="D49" s="1"/>
  <c r="D44"/>
  <c r="K37"/>
  <c r="O24" l="1"/>
  <c r="O52" s="1"/>
  <c r="O53" s="1"/>
  <c r="P23"/>
  <c r="M35"/>
  <c r="M37" s="1"/>
  <c r="N28"/>
  <c r="N30" s="1"/>
  <c r="L35"/>
  <c r="E47"/>
  <c r="I42"/>
  <c r="I39"/>
  <c r="P26"/>
  <c r="P29"/>
  <c r="Q22"/>
  <c r="P25"/>
  <c r="D46"/>
  <c r="D45"/>
  <c r="E41" s="1"/>
  <c r="J38"/>
  <c r="K36"/>
  <c r="L32"/>
  <c r="M31"/>
  <c r="O28" l="1"/>
  <c r="O30" s="1"/>
  <c r="O34" s="1"/>
  <c r="E43"/>
  <c r="N34"/>
  <c r="J42"/>
  <c r="J39"/>
  <c r="M32"/>
  <c r="N31"/>
  <c r="Q23"/>
  <c r="P24"/>
  <c r="P52" s="1"/>
  <c r="P53" s="1"/>
  <c r="R22"/>
  <c r="Q25"/>
  <c r="Q29"/>
  <c r="Q26"/>
  <c r="K38"/>
  <c r="L36"/>
  <c r="P27"/>
  <c r="L37"/>
  <c r="Q27" l="1"/>
  <c r="P28"/>
  <c r="P30" s="1"/>
  <c r="P34" s="1"/>
  <c r="E44"/>
  <c r="E48"/>
  <c r="E49" s="1"/>
  <c r="O35"/>
  <c r="Q24"/>
  <c r="Q52" s="1"/>
  <c r="Q53" s="1"/>
  <c r="R23"/>
  <c r="K42"/>
  <c r="K39"/>
  <c r="R29"/>
  <c r="R26"/>
  <c r="S22"/>
  <c r="R25"/>
  <c r="R27" s="1"/>
  <c r="L38"/>
  <c r="L42" s="1"/>
  <c r="M36"/>
  <c r="O31"/>
  <c r="N32"/>
  <c r="N37"/>
  <c r="N35"/>
  <c r="S25" l="1"/>
  <c r="S27" s="1"/>
  <c r="T22"/>
  <c r="S29"/>
  <c r="S26"/>
  <c r="E46"/>
  <c r="E45"/>
  <c r="F41" s="1"/>
  <c r="M38"/>
  <c r="N36"/>
  <c r="R24"/>
  <c r="R52" s="1"/>
  <c r="R53" s="1"/>
  <c r="S23"/>
  <c r="F47"/>
  <c r="O32"/>
  <c r="P31"/>
  <c r="P35"/>
  <c r="P37"/>
  <c r="Q28"/>
  <c r="Q30" s="1"/>
  <c r="L39"/>
  <c r="O37"/>
  <c r="R28" l="1"/>
  <c r="R30" s="1"/>
  <c r="R34" s="1"/>
  <c r="M42"/>
  <c r="M39"/>
  <c r="N38"/>
  <c r="O36"/>
  <c r="F43"/>
  <c r="T26"/>
  <c r="T29"/>
  <c r="U22"/>
  <c r="T25"/>
  <c r="P32"/>
  <c r="Q31"/>
  <c r="Q34"/>
  <c r="S24"/>
  <c r="S52" s="1"/>
  <c r="S53" s="1"/>
  <c r="T23"/>
  <c r="Q35" l="1"/>
  <c r="Q37" s="1"/>
  <c r="N42"/>
  <c r="N39"/>
  <c r="U23"/>
  <c r="T24"/>
  <c r="T52" s="1"/>
  <c r="T53" s="1"/>
  <c r="P36"/>
  <c r="O38"/>
  <c r="S28"/>
  <c r="S30" s="1"/>
  <c r="V22"/>
  <c r="U25"/>
  <c r="U29"/>
  <c r="U26"/>
  <c r="R35"/>
  <c r="R37" s="1"/>
  <c r="Q32"/>
  <c r="R31"/>
  <c r="F44"/>
  <c r="F48"/>
  <c r="F49" s="1"/>
  <c r="T27"/>
  <c r="S34" l="1"/>
  <c r="U24"/>
  <c r="U52" s="1"/>
  <c r="U53" s="1"/>
  <c r="V23"/>
  <c r="F46"/>
  <c r="F45"/>
  <c r="G41" s="1"/>
  <c r="V29"/>
  <c r="V26"/>
  <c r="V25"/>
  <c r="W22"/>
  <c r="U27"/>
  <c r="S31"/>
  <c r="R32"/>
  <c r="G47"/>
  <c r="P38"/>
  <c r="Q36"/>
  <c r="O42"/>
  <c r="O39"/>
  <c r="T28"/>
  <c r="T30" s="1"/>
  <c r="U28" l="1"/>
  <c r="U30" s="1"/>
  <c r="U34" s="1"/>
  <c r="V27"/>
  <c r="Q38"/>
  <c r="R36"/>
  <c r="P42"/>
  <c r="P39"/>
  <c r="S35"/>
  <c r="S37" s="1"/>
  <c r="T34"/>
  <c r="S32"/>
  <c r="T31"/>
  <c r="W25"/>
  <c r="X22"/>
  <c r="W26"/>
  <c r="W29"/>
  <c r="G43"/>
  <c r="V24"/>
  <c r="V52" s="1"/>
  <c r="V53" s="1"/>
  <c r="W23"/>
  <c r="W24" l="1"/>
  <c r="W52" s="1"/>
  <c r="W53" s="1"/>
  <c r="X23"/>
  <c r="Q42"/>
  <c r="Q39"/>
  <c r="T32"/>
  <c r="U31"/>
  <c r="T35"/>
  <c r="T37" s="1"/>
  <c r="R38"/>
  <c r="S36"/>
  <c r="U35"/>
  <c r="U37" s="1"/>
  <c r="W27"/>
  <c r="V28"/>
  <c r="V30" s="1"/>
  <c r="G44"/>
  <c r="G48"/>
  <c r="G49" s="1"/>
  <c r="X26"/>
  <c r="X29"/>
  <c r="X25"/>
  <c r="X27" s="1"/>
  <c r="Y22"/>
  <c r="G46" l="1"/>
  <c r="G45"/>
  <c r="H41" s="1"/>
  <c r="V34"/>
  <c r="H47"/>
  <c r="R42"/>
  <c r="R39"/>
  <c r="Y23"/>
  <c r="X24"/>
  <c r="X52" s="1"/>
  <c r="X53" s="1"/>
  <c r="Z22"/>
  <c r="Y25"/>
  <c r="Y29"/>
  <c r="Y26"/>
  <c r="S38"/>
  <c r="T36"/>
  <c r="U32"/>
  <c r="V31"/>
  <c r="W28"/>
  <c r="W30" s="1"/>
  <c r="Y27" l="1"/>
  <c r="T38"/>
  <c r="U36"/>
  <c r="V35"/>
  <c r="V37" s="1"/>
  <c r="W34"/>
  <c r="Y24"/>
  <c r="Y52" s="1"/>
  <c r="Y53" s="1"/>
  <c r="Z23"/>
  <c r="H43"/>
  <c r="W31"/>
  <c r="V32"/>
  <c r="S42"/>
  <c r="S39"/>
  <c r="Z29"/>
  <c r="Z26"/>
  <c r="Z25"/>
  <c r="AA22"/>
  <c r="X28"/>
  <c r="X30" s="1"/>
  <c r="Z27" l="1"/>
  <c r="Z28" s="1"/>
  <c r="Z30" s="1"/>
  <c r="Y28"/>
  <c r="Y30" s="1"/>
  <c r="Y34" s="1"/>
  <c r="X34"/>
  <c r="Z24"/>
  <c r="Z52" s="1"/>
  <c r="Z53" s="1"/>
  <c r="AA23"/>
  <c r="AA24" s="1"/>
  <c r="T42"/>
  <c r="T39"/>
  <c r="H48"/>
  <c r="H49" s="1"/>
  <c r="H44"/>
  <c r="AA25"/>
  <c r="AA29"/>
  <c r="AA26"/>
  <c r="W35"/>
  <c r="W37" s="1"/>
  <c r="V36"/>
  <c r="U38"/>
  <c r="W32"/>
  <c r="X31"/>
  <c r="V38" l="1"/>
  <c r="W36"/>
  <c r="I47"/>
  <c r="Y35"/>
  <c r="Y37" s="1"/>
  <c r="X35"/>
  <c r="H46"/>
  <c r="H45"/>
  <c r="I41" s="1"/>
  <c r="U42"/>
  <c r="U39"/>
  <c r="Z34"/>
  <c r="X32"/>
  <c r="Y31"/>
  <c r="AA52"/>
  <c r="AA53" s="1"/>
  <c r="AB53" s="1"/>
  <c r="G7" s="1"/>
  <c r="AB24"/>
  <c r="AA27"/>
  <c r="AA28" s="1"/>
  <c r="AA30" s="1"/>
  <c r="Y32" l="1"/>
  <c r="Z31"/>
  <c r="V42"/>
  <c r="V39"/>
  <c r="AA34"/>
  <c r="G2"/>
  <c r="Z35"/>
  <c r="Z37" s="1"/>
  <c r="X36"/>
  <c r="W38"/>
  <c r="I43"/>
  <c r="X37"/>
  <c r="W42" l="1"/>
  <c r="W39"/>
  <c r="AA35"/>
  <c r="AA37" s="1"/>
  <c r="X38"/>
  <c r="X42" s="1"/>
  <c r="Y36"/>
  <c r="I44"/>
  <c r="I48"/>
  <c r="I49" s="1"/>
  <c r="AA31"/>
  <c r="Z32"/>
  <c r="X39" l="1"/>
  <c r="Y38"/>
  <c r="Z36"/>
  <c r="I46"/>
  <c r="I45"/>
  <c r="J41" s="1"/>
  <c r="J47"/>
  <c r="G4"/>
  <c r="AA32"/>
  <c r="AB32" s="1"/>
  <c r="G3" s="1"/>
  <c r="J43" l="1"/>
  <c r="Z38"/>
  <c r="AA36"/>
  <c r="AA38" s="1"/>
  <c r="Y42"/>
  <c r="Y39"/>
  <c r="J44" l="1"/>
  <c r="J48"/>
  <c r="J49" s="1"/>
  <c r="Z42"/>
  <c r="Z39"/>
  <c r="AA42"/>
  <c r="AB42" s="1"/>
  <c r="AA39"/>
  <c r="AB39" s="1"/>
  <c r="J46" l="1"/>
  <c r="J45"/>
  <c r="K41" s="1"/>
  <c r="K47"/>
  <c r="K43" l="1"/>
  <c r="K44" l="1"/>
  <c r="K48"/>
  <c r="K49" s="1"/>
  <c r="K46" l="1"/>
  <c r="K45"/>
  <c r="L41" s="1"/>
  <c r="L47"/>
  <c r="L43" l="1"/>
  <c r="L48" l="1"/>
  <c r="L49" s="1"/>
  <c r="L44"/>
  <c r="M47" l="1"/>
  <c r="L46"/>
  <c r="L45"/>
  <c r="M41" s="1"/>
  <c r="M43" l="1"/>
  <c r="M44" l="1"/>
  <c r="M48"/>
  <c r="M49" s="1"/>
  <c r="M46" l="1"/>
  <c r="M45"/>
  <c r="N41" s="1"/>
  <c r="N47"/>
  <c r="N43" l="1"/>
  <c r="N44" l="1"/>
  <c r="N48"/>
  <c r="N49" s="1"/>
  <c r="N46" l="1"/>
  <c r="N45"/>
  <c r="O41" s="1"/>
  <c r="O47"/>
  <c r="O43" l="1"/>
  <c r="O44" l="1"/>
  <c r="O48"/>
  <c r="O49" s="1"/>
  <c r="O46" l="1"/>
  <c r="O45"/>
  <c r="P41" s="1"/>
  <c r="P47"/>
  <c r="P43" l="1"/>
  <c r="P48" l="1"/>
  <c r="P49" s="1"/>
  <c r="P44"/>
  <c r="Q47" l="1"/>
  <c r="P46"/>
  <c r="P45"/>
  <c r="Q41" s="1"/>
  <c r="Q43" l="1"/>
  <c r="Q44" l="1"/>
  <c r="Q48"/>
  <c r="Q49" s="1"/>
  <c r="Q46" l="1"/>
  <c r="Q45"/>
  <c r="R41" s="1"/>
  <c r="R47"/>
  <c r="R43" l="1"/>
  <c r="R44" l="1"/>
  <c r="R48"/>
  <c r="R49" s="1"/>
  <c r="R46" l="1"/>
  <c r="R45"/>
  <c r="S41" s="1"/>
  <c r="S47"/>
  <c r="S43" l="1"/>
  <c r="S44" l="1"/>
  <c r="S48"/>
  <c r="S49" s="1"/>
  <c r="S46" l="1"/>
  <c r="S45"/>
  <c r="T41" s="1"/>
  <c r="T47"/>
  <c r="T43" l="1"/>
  <c r="T48" l="1"/>
  <c r="T49" s="1"/>
  <c r="T44"/>
  <c r="U47" l="1"/>
  <c r="T46"/>
  <c r="T45"/>
  <c r="U41" s="1"/>
  <c r="U43" l="1"/>
  <c r="U44" l="1"/>
  <c r="U48"/>
  <c r="U49" s="1"/>
  <c r="U46" l="1"/>
  <c r="U45"/>
  <c r="V41" s="1"/>
  <c r="V47"/>
  <c r="V43" l="1"/>
  <c r="V48" l="1"/>
  <c r="V49" s="1"/>
  <c r="V44"/>
  <c r="W47" l="1"/>
  <c r="V46"/>
  <c r="V45"/>
  <c r="W41" s="1"/>
  <c r="W43" l="1"/>
  <c r="W44" l="1"/>
  <c r="W48"/>
  <c r="W49" s="1"/>
  <c r="W46" l="1"/>
  <c r="W45"/>
  <c r="X41" s="1"/>
  <c r="X47"/>
  <c r="X43" l="1"/>
  <c r="X48" l="1"/>
  <c r="X49" s="1"/>
  <c r="X44"/>
  <c r="Y47" l="1"/>
  <c r="X46"/>
  <c r="X45"/>
  <c r="Y41" s="1"/>
  <c r="Y43" l="1"/>
  <c r="Y44" l="1"/>
  <c r="Y48"/>
  <c r="Y49" s="1"/>
  <c r="Y46" l="1"/>
  <c r="Y45"/>
  <c r="Z41" s="1"/>
  <c r="Z47"/>
  <c r="Z43" l="1"/>
  <c r="Z48" l="1"/>
  <c r="Z49" s="1"/>
  <c r="Z44"/>
  <c r="AA47" l="1"/>
  <c r="Z46"/>
  <c r="Z45"/>
  <c r="AA41" s="1"/>
  <c r="AA43" l="1"/>
  <c r="AA48" l="1"/>
  <c r="AA49" s="1"/>
  <c r="AA44"/>
  <c r="AA46" l="1"/>
  <c r="G5" s="1"/>
  <c r="C57" s="1"/>
  <c r="AA45"/>
</calcChain>
</file>

<file path=xl/sharedStrings.xml><?xml version="1.0" encoding="utf-8"?>
<sst xmlns="http://schemas.openxmlformats.org/spreadsheetml/2006/main" count="71" uniqueCount="69">
  <si>
    <t>Pretax profit</t>
    <phoneticPr fontId="7" type="noConversion"/>
  </si>
  <si>
    <t>Cumulative taxable cash flow</t>
    <phoneticPr fontId="7" type="noConversion"/>
  </si>
  <si>
    <t>End year cash</t>
    <phoneticPr fontId="7" type="noConversion"/>
  </si>
  <si>
    <t>No of withdrawls</t>
    <phoneticPr fontId="7" type="noConversion"/>
  </si>
  <si>
    <t>Withdrawls</t>
    <phoneticPr fontId="7" type="noConversion"/>
  </si>
  <si>
    <t>Shares ranking for interest</t>
    <phoneticPr fontId="7" type="noConversion"/>
  </si>
  <si>
    <t>Interest per share</t>
    <phoneticPr fontId="7" type="noConversion"/>
  </si>
  <si>
    <t>Interest payout rate</t>
    <phoneticPr fontId="7" type="noConversion"/>
  </si>
  <si>
    <t>Capital payout rate</t>
    <phoneticPr fontId="7" type="noConversion"/>
  </si>
  <si>
    <t>Start year cash</t>
    <phoneticPr fontId="7" type="noConversion"/>
  </si>
  <si>
    <t>Cumulative project cash flow</t>
    <phoneticPr fontId="7" type="noConversion"/>
  </si>
  <si>
    <t>Tax charge</t>
    <phoneticPr fontId="7" type="noConversion"/>
  </si>
  <si>
    <t>Corporation tax rate</t>
    <phoneticPr fontId="7" type="noConversion"/>
  </si>
  <si>
    <t>Net income</t>
    <phoneticPr fontId="7" type="noConversion"/>
  </si>
  <si>
    <t>Post tax cash flow</t>
    <phoneticPr fontId="7" type="noConversion"/>
  </si>
  <si>
    <t>Year</t>
    <phoneticPr fontId="7" type="noConversion"/>
  </si>
  <si>
    <t>%</t>
    <phoneticPr fontId="7" type="noConversion"/>
  </si>
  <si>
    <t>IRR sensitivity</t>
    <phoneticPr fontId="7" type="noConversion"/>
  </si>
  <si>
    <t>Solar hours</t>
    <phoneticPr fontId="7" type="noConversion"/>
  </si>
  <si>
    <t>Installed price</t>
    <phoneticPr fontId="7" type="noConversion"/>
  </si>
  <si>
    <t>School usual electricity cost</t>
    <phoneticPr fontId="7" type="noConversion"/>
  </si>
  <si>
    <t>£/kW</t>
    <phoneticPr fontId="7" type="noConversion"/>
  </si>
  <si>
    <t>School electricity bought</t>
    <phoneticPr fontId="7" type="noConversion"/>
  </si>
  <si>
    <t>Saving</t>
    <phoneticPr fontId="7" type="noConversion"/>
  </si>
  <si>
    <t>EIS relief rate</t>
    <phoneticPr fontId="7" type="noConversion"/>
  </si>
  <si>
    <t>Assumptions</t>
  </si>
  <si>
    <t>Yield reduction p.a.</t>
  </si>
  <si>
    <t>Annual RPI Increase</t>
  </si>
  <si>
    <t>School usage of generated electricity</t>
  </si>
  <si>
    <t>£</t>
    <phoneticPr fontId="7" type="noConversion"/>
  </si>
  <si>
    <t>£/kW</t>
    <phoneticPr fontId="7" type="noConversion"/>
  </si>
  <si>
    <t xml:space="preserve">Yield </t>
    <phoneticPr fontId="7" type="noConversion"/>
  </si>
  <si>
    <t>kWh/kW peak</t>
  </si>
  <si>
    <t>Initial peak output</t>
    <phoneticPr fontId="7" type="noConversion"/>
  </si>
  <si>
    <t>kW</t>
    <phoneticPr fontId="7" type="noConversion"/>
  </si>
  <si>
    <t>Outputs</t>
    <phoneticPr fontId="7" type="noConversion"/>
  </si>
  <si>
    <t>Project IRR</t>
    <phoneticPr fontId="7" type="noConversion"/>
  </si>
  <si>
    <t>Payback period</t>
    <phoneticPr fontId="7" type="noConversion"/>
  </si>
  <si>
    <t>Money multiple</t>
    <phoneticPr fontId="7" type="noConversion"/>
  </si>
  <si>
    <t>Saving to school</t>
    <phoneticPr fontId="7" type="noConversion"/>
  </si>
  <si>
    <t>Model</t>
    <phoneticPr fontId="7" type="noConversion"/>
  </si>
  <si>
    <t>Peak output</t>
    <phoneticPr fontId="7" type="noConversion"/>
  </si>
  <si>
    <t>Total</t>
    <phoneticPr fontId="7" type="noConversion"/>
  </si>
  <si>
    <t>IRR to investors</t>
    <phoneticPr fontId="7" type="noConversion"/>
  </si>
  <si>
    <t>Electricity generated</t>
    <phoneticPr fontId="7" type="noConversion"/>
  </si>
  <si>
    <t>Initial generation tariff rate</t>
    <phoneticPr fontId="7" type="noConversion"/>
  </si>
  <si>
    <t>Total installed price</t>
    <phoneticPr fontId="7" type="noConversion"/>
  </si>
  <si>
    <t>Initial export tariff rate</t>
    <phoneticPr fontId="7" type="noConversion"/>
  </si>
  <si>
    <t>Generation tariff</t>
    <phoneticPr fontId="7" type="noConversion"/>
  </si>
  <si>
    <t>Generation income</t>
    <phoneticPr fontId="7" type="noConversion"/>
  </si>
  <si>
    <t>Export tariff</t>
    <phoneticPr fontId="7" type="noConversion"/>
  </si>
  <si>
    <t>Total tariff</t>
    <phoneticPr fontId="7" type="noConversion"/>
  </si>
  <si>
    <t>Shares issued</t>
    <phoneticPr fontId="7" type="noConversion"/>
  </si>
  <si>
    <t>Price per share</t>
    <phoneticPr fontId="7" type="noConversion"/>
  </si>
  <si>
    <t>Maintenance contract</t>
    <phoneticPr fontId="7" type="noConversion"/>
  </si>
  <si>
    <t>GEN running costs</t>
    <phoneticPr fontId="7" type="noConversion"/>
  </si>
  <si>
    <t>£ pa</t>
    <phoneticPr fontId="7" type="noConversion"/>
  </si>
  <si>
    <t>£ pa</t>
    <phoneticPr fontId="7" type="noConversion"/>
  </si>
  <si>
    <t>Costs</t>
    <phoneticPr fontId="7" type="noConversion"/>
  </si>
  <si>
    <t>Inflator</t>
    <phoneticPr fontId="7" type="noConversion"/>
  </si>
  <si>
    <t>Payback indicator</t>
    <phoneticPr fontId="7" type="noConversion"/>
  </si>
  <si>
    <t>years</t>
    <phoneticPr fontId="7" type="noConversion"/>
  </si>
  <si>
    <t>Depreciation</t>
    <phoneticPr fontId="7" type="noConversion"/>
  </si>
  <si>
    <t>x</t>
    <phoneticPr fontId="7" type="noConversion"/>
  </si>
  <si>
    <t>Cash flow to investors</t>
    <phoneticPr fontId="7" type="noConversion"/>
  </si>
  <si>
    <t>Cash flow</t>
    <phoneticPr fontId="7" type="noConversion"/>
  </si>
  <si>
    <t>No of shares start year</t>
    <phoneticPr fontId="7" type="noConversion"/>
  </si>
  <si>
    <t>Operating profit</t>
    <phoneticPr fontId="7" type="noConversion"/>
  </si>
  <si>
    <t>Interest charge</t>
    <phoneticPr fontId="7" type="noConversion"/>
  </si>
</sst>
</file>

<file path=xl/styles.xml><?xml version="1.0" encoding="utf-8"?>
<styleSheet xmlns="http://schemas.openxmlformats.org/spreadsheetml/2006/main">
  <numFmts count="4">
    <numFmt numFmtId="164" formatCode="0.0%"/>
    <numFmt numFmtId="165" formatCode="0.000"/>
    <numFmt numFmtId="166" formatCode="0.0"/>
    <numFmt numFmtId="167" formatCode="&quot;£&quot;#,##0"/>
  </numFmts>
  <fonts count="9">
    <font>
      <sz val="10"/>
      <name val="Verdana"/>
    </font>
    <font>
      <i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3">
    <xf numFmtId="0" fontId="0" fillId="0" borderId="0" xfId="0"/>
    <xf numFmtId="0" fontId="8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6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0" borderId="0" xfId="0" applyFill="1"/>
    <xf numFmtId="1" fontId="0" fillId="0" borderId="0" xfId="0" applyNumberFormat="1"/>
    <xf numFmtId="0" fontId="0" fillId="0" borderId="2" xfId="0" applyBorder="1"/>
    <xf numFmtId="166" fontId="0" fillId="0" borderId="1" xfId="0" applyNumberFormat="1" applyBorder="1"/>
    <xf numFmtId="0" fontId="0" fillId="0" borderId="3" xfId="0" applyBorder="1"/>
    <xf numFmtId="0" fontId="5" fillId="0" borderId="0" xfId="0" applyFont="1"/>
    <xf numFmtId="1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0" xfId="0" applyBorder="1"/>
    <xf numFmtId="164" fontId="0" fillId="0" borderId="3" xfId="1" applyNumberFormat="1" applyFont="1" applyBorder="1"/>
    <xf numFmtId="165" fontId="0" fillId="0" borderId="3" xfId="0" applyNumberFormat="1" applyBorder="1"/>
    <xf numFmtId="9" fontId="0" fillId="0" borderId="3" xfId="1" applyFont="1" applyBorder="1"/>
    <xf numFmtId="0" fontId="0" fillId="0" borderId="5" xfId="0" applyBorder="1"/>
    <xf numFmtId="0" fontId="0" fillId="0" borderId="1" xfId="0" applyBorder="1"/>
    <xf numFmtId="166" fontId="0" fillId="0" borderId="7" xfId="0" applyNumberFormat="1" applyBorder="1"/>
    <xf numFmtId="166" fontId="0" fillId="0" borderId="0" xfId="0" applyNumberFormat="1" applyBorder="1"/>
    <xf numFmtId="0" fontId="0" fillId="0" borderId="0" xfId="0" applyAlignment="1">
      <alignment horizontal="left" indent="3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167" fontId="0" fillId="0" borderId="2" xfId="0" applyNumberFormat="1" applyBorder="1"/>
    <xf numFmtId="0" fontId="3" fillId="0" borderId="7" xfId="0" applyFont="1" applyBorder="1"/>
    <xf numFmtId="1" fontId="0" fillId="0" borderId="7" xfId="0" applyNumberFormat="1" applyBorder="1"/>
    <xf numFmtId="165" fontId="0" fillId="0" borderId="0" xfId="0" applyNumberFormat="1"/>
    <xf numFmtId="0" fontId="3" fillId="0" borderId="0" xfId="0" applyFont="1"/>
    <xf numFmtId="1" fontId="3" fillId="0" borderId="0" xfId="0" applyNumberFormat="1" applyFont="1"/>
    <xf numFmtId="166" fontId="0" fillId="0" borderId="0" xfId="0" applyNumberFormat="1" applyBorder="1"/>
    <xf numFmtId="0" fontId="4" fillId="0" borderId="0" xfId="0" applyFont="1"/>
    <xf numFmtId="1" fontId="4" fillId="0" borderId="0" xfId="0" applyNumberFormat="1" applyFont="1"/>
    <xf numFmtId="0" fontId="0" fillId="0" borderId="0" xfId="0" applyFill="1" applyBorder="1"/>
    <xf numFmtId="1" fontId="3" fillId="0" borderId="7" xfId="0" applyNumberFormat="1" applyFont="1" applyBorder="1"/>
    <xf numFmtId="1" fontId="0" fillId="0" borderId="0" xfId="0" applyNumberFormat="1" applyBorder="1"/>
    <xf numFmtId="9" fontId="0" fillId="0" borderId="3" xfId="0" applyNumberFormat="1" applyBorder="1"/>
    <xf numFmtId="0" fontId="1" fillId="0" borderId="0" xfId="0" applyFont="1" applyBorder="1"/>
    <xf numFmtId="1" fontId="1" fillId="0" borderId="0" xfId="0" applyNumberFormat="1" applyFont="1" applyBorder="1"/>
    <xf numFmtId="0" fontId="1" fillId="0" borderId="0" xfId="0" applyFont="1" applyFill="1" applyBorder="1"/>
    <xf numFmtId="0" fontId="1" fillId="0" borderId="0" xfId="0" applyFont="1"/>
    <xf numFmtId="0" fontId="2" fillId="0" borderId="0" xfId="0" applyFont="1" applyBorder="1"/>
    <xf numFmtId="1" fontId="2" fillId="0" borderId="0" xfId="0" applyNumberFormat="1" applyFont="1" applyBorder="1"/>
    <xf numFmtId="0" fontId="2" fillId="0" borderId="0" xfId="0" applyFont="1" applyFill="1" applyBorder="1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0" fontId="3" fillId="0" borderId="0" xfId="0" applyFont="1" applyBorder="1"/>
    <xf numFmtId="0" fontId="5" fillId="0" borderId="0" xfId="0" applyFont="1" applyAlignment="1">
      <alignment horizontal="right" vertical="center" textRotation="90"/>
    </xf>
    <xf numFmtId="165" fontId="4" fillId="0" borderId="0" xfId="0" applyNumberFormat="1" applyFont="1"/>
  </cellXfs>
  <cellStyles count="2">
    <cellStyle name="Normal" xfId="0" builtinId="0"/>
    <cellStyle name="Percent" xfId="1" builtinId="5"/>
  </cellStyles>
  <dxfs count="3"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17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2"/>
  <sheetViews>
    <sheetView showGridLines="0" tabSelected="1" zoomScale="125" zoomScaleNormal="125" zoomScalePageLayoutView="125" workbookViewId="0">
      <pane xSplit="1" topLeftCell="B1" activePane="topRight" state="frozenSplit"/>
      <selection pane="topRight" activeCell="C43" sqref="C43"/>
    </sheetView>
  </sheetViews>
  <sheetFormatPr defaultColWidth="11" defaultRowHeight="12.75" outlineLevelRow="1" outlineLevelCol="1"/>
  <cols>
    <col min="1" max="1" width="29.75" customWidth="1"/>
    <col min="2" max="2" width="11.25" customWidth="1"/>
    <col min="3" max="3" width="6.625" customWidth="1"/>
    <col min="4" max="8" width="7.25" customWidth="1"/>
    <col min="9" max="11" width="7.25" hidden="1" customWidth="1" outlineLevel="1"/>
    <col min="12" max="12" width="7.25" customWidth="1" collapsed="1"/>
    <col min="13" max="16" width="7.25" hidden="1" customWidth="1" outlineLevel="1"/>
    <col min="17" max="17" width="7.25" customWidth="1" collapsed="1"/>
    <col min="18" max="21" width="7.25" hidden="1" customWidth="1" outlineLevel="1"/>
    <col min="22" max="22" width="7.25" customWidth="1" collapsed="1"/>
    <col min="23" max="26" width="7.25" hidden="1" customWidth="1" outlineLevel="1"/>
    <col min="27" max="27" width="7.25" customWidth="1" collapsed="1"/>
    <col min="28" max="28" width="7.25" customWidth="1"/>
  </cols>
  <sheetData>
    <row r="1" spans="1:8" ht="15">
      <c r="A1" s="1" t="s">
        <v>25</v>
      </c>
      <c r="E1" s="1" t="s">
        <v>35</v>
      </c>
    </row>
    <row r="2" spans="1:8" ht="15" customHeight="1">
      <c r="A2" s="19" t="s">
        <v>46</v>
      </c>
      <c r="B2" s="20" t="s">
        <v>29</v>
      </c>
      <c r="C2" s="21">
        <v>47607.63</v>
      </c>
      <c r="E2" s="19" t="s">
        <v>36</v>
      </c>
      <c r="F2" s="20"/>
      <c r="G2" s="29">
        <f>+IRR(B30:AA30,0.1)*100</f>
        <v>8.4924258589717248</v>
      </c>
      <c r="H2" s="21" t="s">
        <v>16</v>
      </c>
    </row>
    <row r="3" spans="1:8">
      <c r="A3" s="22" t="s">
        <v>33</v>
      </c>
      <c r="B3" s="23" t="s">
        <v>34</v>
      </c>
      <c r="C3" s="16">
        <v>15.4</v>
      </c>
      <c r="E3" s="22" t="s">
        <v>37</v>
      </c>
      <c r="F3" s="23"/>
      <c r="G3" s="23">
        <f>+AB32</f>
        <v>11</v>
      </c>
      <c r="H3" s="16" t="s">
        <v>61</v>
      </c>
    </row>
    <row r="4" spans="1:8">
      <c r="A4" s="22" t="s">
        <v>31</v>
      </c>
      <c r="B4" s="23" t="s">
        <v>32</v>
      </c>
      <c r="C4" s="16">
        <v>850</v>
      </c>
      <c r="E4" s="22" t="s">
        <v>38</v>
      </c>
      <c r="F4" s="23"/>
      <c r="G4" s="41">
        <f>+AA31/C2</f>
        <v>1.5605494887535796</v>
      </c>
      <c r="H4" s="16" t="s">
        <v>63</v>
      </c>
    </row>
    <row r="5" spans="1:8">
      <c r="A5" s="22" t="s">
        <v>26</v>
      </c>
      <c r="B5" s="23"/>
      <c r="C5" s="24">
        <v>7.0000000000000001E-3</v>
      </c>
      <c r="E5" s="22" t="s">
        <v>43</v>
      </c>
      <c r="F5" s="23"/>
      <c r="G5" s="30">
        <f>+IRR(B46:AA46,0.1)*100</f>
        <v>10.473123079489385</v>
      </c>
      <c r="H5" s="16" t="s">
        <v>16</v>
      </c>
    </row>
    <row r="6" spans="1:8">
      <c r="A6" s="22" t="s">
        <v>45</v>
      </c>
      <c r="B6" s="23" t="s">
        <v>30</v>
      </c>
      <c r="C6" s="25">
        <v>0.32900000000000001</v>
      </c>
      <c r="E6" s="22"/>
      <c r="F6" s="23"/>
      <c r="G6" s="23"/>
      <c r="H6" s="16"/>
    </row>
    <row r="7" spans="1:8">
      <c r="A7" s="22" t="s">
        <v>47</v>
      </c>
      <c r="B7" s="23"/>
      <c r="C7" s="25">
        <v>3.1E-2</v>
      </c>
      <c r="E7" s="27" t="s">
        <v>39</v>
      </c>
      <c r="F7" s="14"/>
      <c r="G7" s="35">
        <f>+AB53</f>
        <v>13561.822847690632</v>
      </c>
      <c r="H7" s="28"/>
    </row>
    <row r="8" spans="1:8">
      <c r="A8" s="22" t="s">
        <v>27</v>
      </c>
      <c r="B8" s="23"/>
      <c r="C8" s="26">
        <v>0.02</v>
      </c>
    </row>
    <row r="9" spans="1:8">
      <c r="A9" s="22" t="s">
        <v>52</v>
      </c>
      <c r="B9" s="23"/>
      <c r="C9" s="16">
        <v>37900</v>
      </c>
    </row>
    <row r="10" spans="1:8">
      <c r="A10" s="22" t="s">
        <v>53</v>
      </c>
      <c r="B10" s="23"/>
      <c r="C10" s="16">
        <v>1</v>
      </c>
    </row>
    <row r="11" spans="1:8">
      <c r="A11" s="22" t="s">
        <v>54</v>
      </c>
      <c r="B11" s="23" t="s">
        <v>56</v>
      </c>
      <c r="C11" s="16">
        <v>300</v>
      </c>
    </row>
    <row r="12" spans="1:8">
      <c r="A12" s="22" t="s">
        <v>55</v>
      </c>
      <c r="B12" s="23" t="s">
        <v>57</v>
      </c>
      <c r="C12" s="16">
        <v>200</v>
      </c>
    </row>
    <row r="13" spans="1:8">
      <c r="A13" s="22" t="s">
        <v>7</v>
      </c>
      <c r="B13" s="23"/>
      <c r="C13" s="47">
        <v>0.95</v>
      </c>
    </row>
    <row r="14" spans="1:8">
      <c r="A14" s="22" t="s">
        <v>8</v>
      </c>
      <c r="B14" s="23"/>
      <c r="C14" s="47">
        <v>0.75</v>
      </c>
    </row>
    <row r="15" spans="1:8">
      <c r="A15" s="22" t="s">
        <v>12</v>
      </c>
      <c r="B15" s="23"/>
      <c r="C15" s="26">
        <v>0.2</v>
      </c>
    </row>
    <row r="16" spans="1:8">
      <c r="A16" s="22" t="s">
        <v>24</v>
      </c>
      <c r="B16" s="23"/>
      <c r="C16" s="26">
        <v>0.2</v>
      </c>
    </row>
    <row r="17" spans="1:28">
      <c r="A17" s="22" t="s">
        <v>28</v>
      </c>
      <c r="B17" s="23"/>
      <c r="C17" s="26">
        <v>0.6</v>
      </c>
    </row>
    <row r="18" spans="1:28">
      <c r="A18" s="27" t="s">
        <v>20</v>
      </c>
      <c r="B18" s="14" t="s">
        <v>21</v>
      </c>
      <c r="C18" s="28">
        <v>0.09</v>
      </c>
    </row>
    <row r="20" spans="1:28" ht="15">
      <c r="A20" s="1" t="s">
        <v>40</v>
      </c>
    </row>
    <row r="21" spans="1:28">
      <c r="A21" s="34" t="s">
        <v>15</v>
      </c>
      <c r="B21" s="14">
        <v>0</v>
      </c>
      <c r="C21" s="14">
        <v>1</v>
      </c>
      <c r="D21" s="14">
        <f>+C21+1</f>
        <v>2</v>
      </c>
      <c r="E21" s="14">
        <f t="shared" ref="E21:AA21" si="0">+D21+1</f>
        <v>3</v>
      </c>
      <c r="F21" s="14">
        <f t="shared" si="0"/>
        <v>4</v>
      </c>
      <c r="G21" s="14">
        <f t="shared" si="0"/>
        <v>5</v>
      </c>
      <c r="H21" s="14">
        <f t="shared" si="0"/>
        <v>6</v>
      </c>
      <c r="I21" s="14">
        <f t="shared" si="0"/>
        <v>7</v>
      </c>
      <c r="J21" s="14">
        <f t="shared" si="0"/>
        <v>8</v>
      </c>
      <c r="K21" s="14">
        <f t="shared" si="0"/>
        <v>9</v>
      </c>
      <c r="L21" s="14">
        <f t="shared" si="0"/>
        <v>10</v>
      </c>
      <c r="M21" s="14">
        <f t="shared" si="0"/>
        <v>11</v>
      </c>
      <c r="N21" s="14">
        <f t="shared" si="0"/>
        <v>12</v>
      </c>
      <c r="O21" s="14">
        <f>+N21+1</f>
        <v>13</v>
      </c>
      <c r="P21" s="14">
        <f t="shared" si="0"/>
        <v>14</v>
      </c>
      <c r="Q21" s="14">
        <f t="shared" si="0"/>
        <v>15</v>
      </c>
      <c r="R21" s="14">
        <f t="shared" si="0"/>
        <v>16</v>
      </c>
      <c r="S21" s="14">
        <f t="shared" si="0"/>
        <v>17</v>
      </c>
      <c r="T21" s="14">
        <f t="shared" si="0"/>
        <v>18</v>
      </c>
      <c r="U21" s="14">
        <f t="shared" si="0"/>
        <v>19</v>
      </c>
      <c r="V21" s="14">
        <f t="shared" si="0"/>
        <v>20</v>
      </c>
      <c r="W21" s="14">
        <f t="shared" si="0"/>
        <v>21</v>
      </c>
      <c r="X21" s="14">
        <f t="shared" si="0"/>
        <v>22</v>
      </c>
      <c r="Y21" s="14">
        <f t="shared" si="0"/>
        <v>23</v>
      </c>
      <c r="Z21" s="14">
        <f t="shared" si="0"/>
        <v>24</v>
      </c>
      <c r="AA21" s="14">
        <f t="shared" si="0"/>
        <v>25</v>
      </c>
      <c r="AB21" s="34" t="s">
        <v>42</v>
      </c>
    </row>
    <row r="22" spans="1:28" ht="12.95" hidden="1" customHeight="1" outlineLevel="1">
      <c r="A22" t="s">
        <v>59</v>
      </c>
      <c r="C22" s="7">
        <v>1</v>
      </c>
      <c r="D22" s="7">
        <f>+C22*(1+$C$8)</f>
        <v>1.02</v>
      </c>
      <c r="E22" s="7">
        <f t="shared" ref="E22:AA22" si="1">+D22*(1+$C$8)</f>
        <v>1.0404</v>
      </c>
      <c r="F22" s="7">
        <f t="shared" si="1"/>
        <v>1.0612079999999999</v>
      </c>
      <c r="G22" s="7">
        <f t="shared" si="1"/>
        <v>1.08243216</v>
      </c>
      <c r="H22" s="7">
        <f t="shared" si="1"/>
        <v>1.1040808032</v>
      </c>
      <c r="I22" s="7">
        <f t="shared" si="1"/>
        <v>1.1261624192640001</v>
      </c>
      <c r="J22" s="7">
        <f t="shared" si="1"/>
        <v>1.14868566764928</v>
      </c>
      <c r="K22" s="7">
        <f t="shared" si="1"/>
        <v>1.1716593810022657</v>
      </c>
      <c r="L22" s="7">
        <f t="shared" si="1"/>
        <v>1.1950925686223111</v>
      </c>
      <c r="M22" s="7">
        <f t="shared" si="1"/>
        <v>1.2189944199947573</v>
      </c>
      <c r="N22" s="7">
        <f t="shared" si="1"/>
        <v>1.2433743083946525</v>
      </c>
      <c r="O22" s="7">
        <f t="shared" si="1"/>
        <v>1.2682417945625455</v>
      </c>
      <c r="P22" s="7">
        <f t="shared" si="1"/>
        <v>1.2936066304537963</v>
      </c>
      <c r="Q22" s="7">
        <f t="shared" si="1"/>
        <v>1.3194787630628724</v>
      </c>
      <c r="R22" s="7">
        <f t="shared" si="1"/>
        <v>1.3458683383241299</v>
      </c>
      <c r="S22" s="7">
        <f t="shared" si="1"/>
        <v>1.3727857050906125</v>
      </c>
      <c r="T22" s="7">
        <f t="shared" si="1"/>
        <v>1.4002414191924248</v>
      </c>
      <c r="U22" s="7">
        <f t="shared" si="1"/>
        <v>1.4282462475762734</v>
      </c>
      <c r="V22" s="7">
        <f t="shared" si="1"/>
        <v>1.4568111725277988</v>
      </c>
      <c r="W22" s="7">
        <f t="shared" si="1"/>
        <v>1.4859473959783549</v>
      </c>
      <c r="X22" s="7">
        <f t="shared" si="1"/>
        <v>1.5156663438979221</v>
      </c>
      <c r="Y22" s="7">
        <f t="shared" si="1"/>
        <v>1.5459796707758806</v>
      </c>
      <c r="Z22" s="7">
        <f t="shared" si="1"/>
        <v>1.5768992641913981</v>
      </c>
      <c r="AA22" s="7">
        <f t="shared" si="1"/>
        <v>1.6084372494752261</v>
      </c>
    </row>
    <row r="23" spans="1:28" collapsed="1">
      <c r="A23" s="5" t="s">
        <v>41</v>
      </c>
      <c r="C23" s="2">
        <f>+$C$3</f>
        <v>15.4</v>
      </c>
      <c r="D23" s="2">
        <f t="shared" ref="D23:AA23" si="2">+C23*(1-$C$5)</f>
        <v>15.292200000000001</v>
      </c>
      <c r="E23" s="2">
        <f t="shared" si="2"/>
        <v>15.185154600000001</v>
      </c>
      <c r="F23" s="2">
        <f t="shared" si="2"/>
        <v>15.078858517800001</v>
      </c>
      <c r="G23" s="2">
        <f t="shared" si="2"/>
        <v>14.9733065081754</v>
      </c>
      <c r="H23" s="2">
        <f t="shared" si="2"/>
        <v>14.868493362618171</v>
      </c>
      <c r="I23" s="2">
        <f t="shared" si="2"/>
        <v>14.764413909079844</v>
      </c>
      <c r="J23" s="2">
        <f t="shared" si="2"/>
        <v>14.661063011716285</v>
      </c>
      <c r="K23" s="2">
        <f t="shared" si="2"/>
        <v>14.558435570634272</v>
      </c>
      <c r="L23" s="2">
        <f t="shared" si="2"/>
        <v>14.456526521639832</v>
      </c>
      <c r="M23" s="2">
        <f t="shared" si="2"/>
        <v>14.355330835988353</v>
      </c>
      <c r="N23" s="2">
        <f t="shared" si="2"/>
        <v>14.254843520136435</v>
      </c>
      <c r="O23" s="2">
        <f t="shared" si="2"/>
        <v>14.15505961549548</v>
      </c>
      <c r="P23" s="2">
        <f t="shared" si="2"/>
        <v>14.055974198187011</v>
      </c>
      <c r="Q23" s="2">
        <f t="shared" si="2"/>
        <v>13.957582378799701</v>
      </c>
      <c r="R23" s="2">
        <f t="shared" si="2"/>
        <v>13.859879302148103</v>
      </c>
      <c r="S23" s="2">
        <f t="shared" si="2"/>
        <v>13.762860147033066</v>
      </c>
      <c r="T23" s="2">
        <f t="shared" si="2"/>
        <v>13.666520126003835</v>
      </c>
      <c r="U23" s="2">
        <f t="shared" si="2"/>
        <v>13.570854485121808</v>
      </c>
      <c r="V23" s="2">
        <f t="shared" si="2"/>
        <v>13.475858503725956</v>
      </c>
      <c r="W23" s="2">
        <f t="shared" si="2"/>
        <v>13.381527494199874</v>
      </c>
      <c r="X23" s="2">
        <f t="shared" si="2"/>
        <v>13.287856801740475</v>
      </c>
      <c r="Y23" s="2">
        <f t="shared" si="2"/>
        <v>13.194841804128291</v>
      </c>
      <c r="Z23" s="2">
        <f t="shared" si="2"/>
        <v>13.102477911499394</v>
      </c>
      <c r="AA23" s="2">
        <f t="shared" si="2"/>
        <v>13.010760566118897</v>
      </c>
    </row>
    <row r="24" spans="1:28">
      <c r="A24" s="5" t="s">
        <v>44</v>
      </c>
      <c r="C24" s="3">
        <f>+C23*$C$4</f>
        <v>13090</v>
      </c>
      <c r="D24" s="3">
        <f t="shared" ref="D24:AA24" si="3">+D23*$C$4</f>
        <v>12998.37</v>
      </c>
      <c r="E24" s="3">
        <f t="shared" si="3"/>
        <v>12907.38141</v>
      </c>
      <c r="F24" s="3">
        <f t="shared" si="3"/>
        <v>12817.029740130001</v>
      </c>
      <c r="G24" s="3">
        <f t="shared" si="3"/>
        <v>12727.31053194909</v>
      </c>
      <c r="H24" s="3">
        <f t="shared" si="3"/>
        <v>12638.219358225446</v>
      </c>
      <c r="I24" s="3">
        <f t="shared" si="3"/>
        <v>12549.751822717868</v>
      </c>
      <c r="J24" s="3">
        <f t="shared" si="3"/>
        <v>12461.903559958842</v>
      </c>
      <c r="K24" s="3">
        <f t="shared" si="3"/>
        <v>12374.670235039132</v>
      </c>
      <c r="L24" s="3">
        <f t="shared" si="3"/>
        <v>12288.047543393857</v>
      </c>
      <c r="M24" s="3">
        <f t="shared" si="3"/>
        <v>12202.031210590099</v>
      </c>
      <c r="N24" s="3">
        <f t="shared" si="3"/>
        <v>12116.616992115969</v>
      </c>
      <c r="O24" s="3">
        <f t="shared" si="3"/>
        <v>12031.800673171158</v>
      </c>
      <c r="P24" s="3">
        <f t="shared" si="3"/>
        <v>11947.578068458959</v>
      </c>
      <c r="Q24" s="3">
        <f t="shared" si="3"/>
        <v>11863.945021979745</v>
      </c>
      <c r="R24" s="3">
        <f t="shared" si="3"/>
        <v>11780.897406825889</v>
      </c>
      <c r="S24" s="3">
        <f t="shared" si="3"/>
        <v>11698.431124978106</v>
      </c>
      <c r="T24" s="3">
        <f t="shared" si="3"/>
        <v>11616.54210710326</v>
      </c>
      <c r="U24" s="3">
        <f t="shared" si="3"/>
        <v>11535.226312353538</v>
      </c>
      <c r="V24" s="3">
        <f t="shared" si="3"/>
        <v>11454.479728167062</v>
      </c>
      <c r="W24" s="3">
        <f t="shared" si="3"/>
        <v>11374.298370069893</v>
      </c>
      <c r="X24" s="3">
        <f t="shared" si="3"/>
        <v>11294.678281479404</v>
      </c>
      <c r="Y24" s="3">
        <f t="shared" si="3"/>
        <v>11215.615533509048</v>
      </c>
      <c r="Z24" s="3">
        <f t="shared" si="3"/>
        <v>11137.106224774485</v>
      </c>
      <c r="AA24" s="3">
        <f t="shared" si="3"/>
        <v>11059.146481201062</v>
      </c>
      <c r="AB24" s="18">
        <f>SUM(C24:AA24)</f>
        <v>301181.07773819193</v>
      </c>
    </row>
    <row r="25" spans="1:28">
      <c r="A25" s="31" t="s">
        <v>48</v>
      </c>
      <c r="C25" s="38">
        <f>+$C$6</f>
        <v>0.32900000000000001</v>
      </c>
      <c r="D25" s="38">
        <f>+$C$6*D22</f>
        <v>0.33558000000000004</v>
      </c>
      <c r="E25" s="38">
        <f t="shared" ref="E25:AA25" si="4">+$C$6*E22</f>
        <v>0.34229160000000003</v>
      </c>
      <c r="F25" s="38">
        <f t="shared" si="4"/>
        <v>0.34913743199999997</v>
      </c>
      <c r="G25" s="38">
        <f t="shared" si="4"/>
        <v>0.35612018064000001</v>
      </c>
      <c r="H25" s="38">
        <f t="shared" si="4"/>
        <v>0.36324258425280004</v>
      </c>
      <c r="I25" s="38">
        <f t="shared" si="4"/>
        <v>0.37050743593785607</v>
      </c>
      <c r="J25" s="38">
        <f t="shared" si="4"/>
        <v>0.37791758465661313</v>
      </c>
      <c r="K25" s="38">
        <f t="shared" si="4"/>
        <v>0.38547593634974547</v>
      </c>
      <c r="L25" s="38">
        <f t="shared" si="4"/>
        <v>0.39318545507674035</v>
      </c>
      <c r="M25" s="38">
        <f t="shared" si="4"/>
        <v>0.40104916417827519</v>
      </c>
      <c r="N25" s="38">
        <f t="shared" si="4"/>
        <v>0.40907014746184067</v>
      </c>
      <c r="O25" s="38">
        <f t="shared" si="4"/>
        <v>0.41725155041107748</v>
      </c>
      <c r="P25" s="38">
        <f t="shared" si="4"/>
        <v>0.42559658141929901</v>
      </c>
      <c r="Q25" s="38">
        <f t="shared" si="4"/>
        <v>0.43410851304768505</v>
      </c>
      <c r="R25" s="38">
        <f t="shared" si="4"/>
        <v>0.44279068330863874</v>
      </c>
      <c r="S25" s="38">
        <f t="shared" si="4"/>
        <v>0.45164649697481152</v>
      </c>
      <c r="T25" s="38">
        <f t="shared" si="4"/>
        <v>0.4606794269143078</v>
      </c>
      <c r="U25" s="38">
        <f t="shared" si="4"/>
        <v>0.46989301545259399</v>
      </c>
      <c r="V25" s="38">
        <f t="shared" si="4"/>
        <v>0.47929087576164581</v>
      </c>
      <c r="W25" s="38">
        <f t="shared" si="4"/>
        <v>0.48887669327687877</v>
      </c>
      <c r="X25" s="38">
        <f t="shared" si="4"/>
        <v>0.49865422714241642</v>
      </c>
      <c r="Y25" s="38">
        <f t="shared" si="4"/>
        <v>0.50862731168526476</v>
      </c>
      <c r="Z25" s="38">
        <f t="shared" si="4"/>
        <v>0.51879985791896999</v>
      </c>
      <c r="AA25" s="38">
        <f t="shared" si="4"/>
        <v>0.52917585507734943</v>
      </c>
    </row>
    <row r="26" spans="1:28">
      <c r="A26" s="31" t="s">
        <v>50</v>
      </c>
      <c r="C26" s="38">
        <f>+C7</f>
        <v>3.1E-2</v>
      </c>
      <c r="D26" s="38">
        <f>+$C$7*D22</f>
        <v>3.1620000000000002E-2</v>
      </c>
      <c r="E26" s="38">
        <f t="shared" ref="E26:AA26" si="5">+$C$7*E22</f>
        <v>3.2252400000000001E-2</v>
      </c>
      <c r="F26" s="38">
        <f t="shared" si="5"/>
        <v>3.2897447999999996E-2</v>
      </c>
      <c r="G26" s="38">
        <f t="shared" si="5"/>
        <v>3.3555396959999997E-2</v>
      </c>
      <c r="H26" s="38">
        <f t="shared" si="5"/>
        <v>3.4226504899199997E-2</v>
      </c>
      <c r="I26" s="38">
        <f t="shared" si="5"/>
        <v>3.4911034997184003E-2</v>
      </c>
      <c r="J26" s="38">
        <f t="shared" si="5"/>
        <v>3.5609255697127681E-2</v>
      </c>
      <c r="K26" s="38">
        <f t="shared" si="5"/>
        <v>3.6321440811070235E-2</v>
      </c>
      <c r="L26" s="38">
        <f t="shared" si="5"/>
        <v>3.7047869627291639E-2</v>
      </c>
      <c r="M26" s="38">
        <f t="shared" si="5"/>
        <v>3.7788827019837476E-2</v>
      </c>
      <c r="N26" s="38">
        <f t="shared" si="5"/>
        <v>3.8544603560234224E-2</v>
      </c>
      <c r="O26" s="38">
        <f t="shared" si="5"/>
        <v>3.9315495631438907E-2</v>
      </c>
      <c r="P26" s="38">
        <f t="shared" si="5"/>
        <v>4.0101805544067684E-2</v>
      </c>
      <c r="Q26" s="38">
        <f t="shared" si="5"/>
        <v>4.0903841654949043E-2</v>
      </c>
      <c r="R26" s="38">
        <f t="shared" si="5"/>
        <v>4.1721918488048029E-2</v>
      </c>
      <c r="S26" s="38">
        <f t="shared" si="5"/>
        <v>4.2556356857808987E-2</v>
      </c>
      <c r="T26" s="38">
        <f t="shared" si="5"/>
        <v>4.3407483994965169E-2</v>
      </c>
      <c r="U26" s="38">
        <f t="shared" si="5"/>
        <v>4.4275633674864472E-2</v>
      </c>
      <c r="V26" s="38">
        <f t="shared" si="5"/>
        <v>4.5161146348361762E-2</v>
      </c>
      <c r="W26" s="38">
        <f t="shared" si="5"/>
        <v>4.6064369275329003E-2</v>
      </c>
      <c r="X26" s="38">
        <f t="shared" si="5"/>
        <v>4.6985656660835581E-2</v>
      </c>
      <c r="Y26" s="38">
        <f t="shared" si="5"/>
        <v>4.7925369794052299E-2</v>
      </c>
      <c r="Z26" s="38">
        <f t="shared" si="5"/>
        <v>4.8883877189933339E-2</v>
      </c>
      <c r="AA26" s="38">
        <f t="shared" si="5"/>
        <v>4.9861554733732008E-2</v>
      </c>
    </row>
    <row r="27" spans="1:28">
      <c r="A27" s="5" t="s">
        <v>51</v>
      </c>
      <c r="C27" s="38">
        <f>+C25+C26</f>
        <v>0.36</v>
      </c>
      <c r="D27" s="38">
        <f t="shared" ref="D27:AA27" si="6">+D25+D26</f>
        <v>0.36720000000000003</v>
      </c>
      <c r="E27" s="38">
        <f t="shared" si="6"/>
        <v>0.37454400000000004</v>
      </c>
      <c r="F27" s="38">
        <f t="shared" si="6"/>
        <v>0.38203487999999997</v>
      </c>
      <c r="G27" s="38">
        <f t="shared" si="6"/>
        <v>0.38967557759999999</v>
      </c>
      <c r="H27" s="38">
        <f t="shared" si="6"/>
        <v>0.39746908915200002</v>
      </c>
      <c r="I27" s="38">
        <f t="shared" si="6"/>
        <v>0.40541847093504008</v>
      </c>
      <c r="J27" s="38">
        <f t="shared" si="6"/>
        <v>0.41352684035374082</v>
      </c>
      <c r="K27" s="38">
        <f t="shared" si="6"/>
        <v>0.42179737716081572</v>
      </c>
      <c r="L27" s="38">
        <f t="shared" si="6"/>
        <v>0.43023332470403197</v>
      </c>
      <c r="M27" s="38">
        <f t="shared" si="6"/>
        <v>0.43883799119811268</v>
      </c>
      <c r="N27" s="38">
        <f t="shared" si="6"/>
        <v>0.44761475102207487</v>
      </c>
      <c r="O27" s="38">
        <f t="shared" si="6"/>
        <v>0.45656704604251641</v>
      </c>
      <c r="P27" s="38">
        <f t="shared" si="6"/>
        <v>0.46569838696336668</v>
      </c>
      <c r="Q27" s="38">
        <f t="shared" si="6"/>
        <v>0.47501235470263409</v>
      </c>
      <c r="R27" s="38">
        <f t="shared" si="6"/>
        <v>0.48451260179668676</v>
      </c>
      <c r="S27" s="38">
        <f t="shared" si="6"/>
        <v>0.49420285383262053</v>
      </c>
      <c r="T27" s="38">
        <f t="shared" si="6"/>
        <v>0.50408691090927293</v>
      </c>
      <c r="U27" s="38">
        <f t="shared" si="6"/>
        <v>0.51416864912745841</v>
      </c>
      <c r="V27" s="38">
        <f t="shared" si="6"/>
        <v>0.52445202211000752</v>
      </c>
      <c r="W27" s="38">
        <f t="shared" si="6"/>
        <v>0.53494106255220775</v>
      </c>
      <c r="X27" s="38">
        <f t="shared" si="6"/>
        <v>0.54563988380325201</v>
      </c>
      <c r="Y27" s="38">
        <f t="shared" si="6"/>
        <v>0.55655268147931702</v>
      </c>
      <c r="Z27" s="38">
        <f t="shared" si="6"/>
        <v>0.56768373510890335</v>
      </c>
      <c r="AA27" s="38">
        <f t="shared" si="6"/>
        <v>0.57903740981108143</v>
      </c>
    </row>
    <row r="28" spans="1:28">
      <c r="A28" s="4" t="s">
        <v>49</v>
      </c>
      <c r="B28" s="20"/>
      <c r="C28" s="37">
        <f>+C27*C24</f>
        <v>4712.3999999999996</v>
      </c>
      <c r="D28" s="37">
        <f t="shared" ref="D28:AA28" si="7">+D27*D24</f>
        <v>4773.0014640000009</v>
      </c>
      <c r="E28" s="37">
        <f t="shared" si="7"/>
        <v>4834.3822628270409</v>
      </c>
      <c r="F28" s="37">
        <f t="shared" si="7"/>
        <v>4896.5524187269957</v>
      </c>
      <c r="G28" s="37">
        <f t="shared" si="7"/>
        <v>4959.5220828318243</v>
      </c>
      <c r="H28" s="37">
        <f t="shared" si="7"/>
        <v>5023.3015368170418</v>
      </c>
      <c r="I28" s="37">
        <f t="shared" si="7"/>
        <v>5087.9011945805105</v>
      </c>
      <c r="J28" s="37">
        <f t="shared" si="7"/>
        <v>5153.3316039428146</v>
      </c>
      <c r="K28" s="37">
        <f t="shared" si="7"/>
        <v>5219.6034483695203</v>
      </c>
      <c r="L28" s="37">
        <f t="shared" si="7"/>
        <v>5286.7275487155521</v>
      </c>
      <c r="M28" s="37">
        <f t="shared" si="7"/>
        <v>5354.7148649920346</v>
      </c>
      <c r="N28" s="37">
        <f t="shared" si="7"/>
        <v>5423.5764981558314</v>
      </c>
      <c r="O28" s="37">
        <f t="shared" si="7"/>
        <v>5493.3236919221163</v>
      </c>
      <c r="P28" s="37">
        <f t="shared" si="7"/>
        <v>5563.9678346002338</v>
      </c>
      <c r="Q28" s="37">
        <f t="shared" si="7"/>
        <v>5635.5204609531929</v>
      </c>
      <c r="R28" s="37">
        <f t="shared" si="7"/>
        <v>5707.9932540810514</v>
      </c>
      <c r="S28" s="37">
        <f t="shared" si="7"/>
        <v>5781.3980473285337</v>
      </c>
      <c r="T28" s="37">
        <f t="shared" si="7"/>
        <v>5855.7468262171788</v>
      </c>
      <c r="U28" s="37">
        <f t="shared" si="7"/>
        <v>5931.0517304023324</v>
      </c>
      <c r="V28" s="37">
        <f t="shared" si="7"/>
        <v>6007.3250556553048</v>
      </c>
      <c r="W28" s="37">
        <f t="shared" si="7"/>
        <v>6084.5792558710336</v>
      </c>
      <c r="X28" s="37">
        <f t="shared" si="7"/>
        <v>6162.8269451015358</v>
      </c>
      <c r="Y28" s="37">
        <f t="shared" si="7"/>
        <v>6242.0808996155411</v>
      </c>
      <c r="Z28" s="37">
        <f t="shared" si="7"/>
        <v>6322.3540599845974</v>
      </c>
      <c r="AA28" s="37">
        <f t="shared" si="7"/>
        <v>6403.6595331959979</v>
      </c>
    </row>
    <row r="29" spans="1:28">
      <c r="A29" s="4" t="s">
        <v>58</v>
      </c>
      <c r="C29" s="18">
        <f>-($C$11+$C$12)*C22</f>
        <v>-500</v>
      </c>
      <c r="D29" s="18">
        <f t="shared" ref="D29:AA29" si="8">-($C$11+$C$12)*D22</f>
        <v>-510</v>
      </c>
      <c r="E29" s="18">
        <f t="shared" si="8"/>
        <v>-520.20000000000005</v>
      </c>
      <c r="F29" s="18">
        <f t="shared" si="8"/>
        <v>-530.60399999999993</v>
      </c>
      <c r="G29" s="18">
        <f t="shared" si="8"/>
        <v>-541.21608000000003</v>
      </c>
      <c r="H29" s="18">
        <f t="shared" si="8"/>
        <v>-552.0404016</v>
      </c>
      <c r="I29" s="18">
        <f t="shared" si="8"/>
        <v>-563.08120963200008</v>
      </c>
      <c r="J29" s="18">
        <f t="shared" si="8"/>
        <v>-574.34283382464002</v>
      </c>
      <c r="K29" s="18">
        <f t="shared" si="8"/>
        <v>-585.82969050113286</v>
      </c>
      <c r="L29" s="18">
        <f t="shared" si="8"/>
        <v>-597.54628431115555</v>
      </c>
      <c r="M29" s="18">
        <f t="shared" si="8"/>
        <v>-609.49720999737872</v>
      </c>
      <c r="N29" s="18">
        <f t="shared" si="8"/>
        <v>-621.68715419732621</v>
      </c>
      <c r="O29" s="18">
        <f t="shared" si="8"/>
        <v>-634.12089728127273</v>
      </c>
      <c r="P29" s="18">
        <f t="shared" si="8"/>
        <v>-646.80331522689812</v>
      </c>
      <c r="Q29" s="18">
        <f t="shared" si="8"/>
        <v>-659.73938153143615</v>
      </c>
      <c r="R29" s="18">
        <f t="shared" si="8"/>
        <v>-672.9341691620649</v>
      </c>
      <c r="S29" s="18">
        <f t="shared" si="8"/>
        <v>-686.39285254530625</v>
      </c>
      <c r="T29" s="18">
        <f t="shared" si="8"/>
        <v>-700.12070959621246</v>
      </c>
      <c r="U29" s="18">
        <f t="shared" si="8"/>
        <v>-714.1231237881367</v>
      </c>
      <c r="V29" s="18">
        <f t="shared" si="8"/>
        <v>-728.40558626389941</v>
      </c>
      <c r="W29" s="18">
        <f t="shared" si="8"/>
        <v>-742.97369798917748</v>
      </c>
      <c r="X29" s="18">
        <f t="shared" si="8"/>
        <v>-757.83317194896108</v>
      </c>
      <c r="Y29" s="18">
        <f t="shared" si="8"/>
        <v>-772.98983538794027</v>
      </c>
      <c r="Z29" s="18">
        <f t="shared" si="8"/>
        <v>-788.44963209569903</v>
      </c>
      <c r="AA29" s="18">
        <f t="shared" si="8"/>
        <v>-804.21862473761303</v>
      </c>
    </row>
    <row r="30" spans="1:28">
      <c r="A30" s="39" t="s">
        <v>65</v>
      </c>
      <c r="B30" s="36">
        <f>-C2</f>
        <v>-47607.63</v>
      </c>
      <c r="C30" s="45">
        <f>+C28+C29</f>
        <v>4212.3999999999996</v>
      </c>
      <c r="D30" s="45">
        <f t="shared" ref="D30:AA30" si="9">+D28+D29</f>
        <v>4263.0014640000009</v>
      </c>
      <c r="E30" s="45">
        <f t="shared" si="9"/>
        <v>4314.1822628270411</v>
      </c>
      <c r="F30" s="45">
        <f t="shared" si="9"/>
        <v>4365.9484187269954</v>
      </c>
      <c r="G30" s="45">
        <f t="shared" si="9"/>
        <v>4418.3060028318241</v>
      </c>
      <c r="H30" s="45">
        <f t="shared" si="9"/>
        <v>4471.2611352170416</v>
      </c>
      <c r="I30" s="45">
        <f t="shared" si="9"/>
        <v>4524.81998494851</v>
      </c>
      <c r="J30" s="45">
        <f t="shared" si="9"/>
        <v>4578.9887701181742</v>
      </c>
      <c r="K30" s="45">
        <f t="shared" si="9"/>
        <v>4633.7737578683873</v>
      </c>
      <c r="L30" s="45">
        <f t="shared" si="9"/>
        <v>4689.1812644043966</v>
      </c>
      <c r="M30" s="45">
        <f t="shared" si="9"/>
        <v>4745.2176549946562</v>
      </c>
      <c r="N30" s="45">
        <f t="shared" si="9"/>
        <v>4801.8893439585054</v>
      </c>
      <c r="O30" s="45">
        <f t="shared" si="9"/>
        <v>4859.2027946408434</v>
      </c>
      <c r="P30" s="45">
        <f t="shared" si="9"/>
        <v>4917.1645193733357</v>
      </c>
      <c r="Q30" s="45">
        <f t="shared" si="9"/>
        <v>4975.7810794217567</v>
      </c>
      <c r="R30" s="45">
        <f t="shared" si="9"/>
        <v>5035.0590849189866</v>
      </c>
      <c r="S30" s="45">
        <f t="shared" si="9"/>
        <v>5095.0051947832271</v>
      </c>
      <c r="T30" s="45">
        <f t="shared" si="9"/>
        <v>5155.6261166209661</v>
      </c>
      <c r="U30" s="45">
        <f t="shared" si="9"/>
        <v>5216.9286066141958</v>
      </c>
      <c r="V30" s="45">
        <f t="shared" si="9"/>
        <v>5278.9194693914051</v>
      </c>
      <c r="W30" s="45">
        <f t="shared" si="9"/>
        <v>5341.6055578818559</v>
      </c>
      <c r="X30" s="45">
        <f t="shared" si="9"/>
        <v>5404.9937731525752</v>
      </c>
      <c r="Y30" s="45">
        <f t="shared" si="9"/>
        <v>5469.0910642276012</v>
      </c>
      <c r="Z30" s="45">
        <f t="shared" si="9"/>
        <v>5533.9044278888987</v>
      </c>
      <c r="AA30" s="45">
        <f t="shared" si="9"/>
        <v>5599.4409084583849</v>
      </c>
    </row>
    <row r="31" spans="1:28">
      <c r="A31" s="4" t="s">
        <v>10</v>
      </c>
      <c r="B31" s="60"/>
      <c r="C31" s="53">
        <f>+C30+B30</f>
        <v>-43395.229999999996</v>
      </c>
      <c r="D31" s="53">
        <f>+C31+D30</f>
        <v>-39132.228535999995</v>
      </c>
      <c r="E31" s="53">
        <f t="shared" ref="E31:AA31" si="10">+D31+E30</f>
        <v>-34818.046273172957</v>
      </c>
      <c r="F31" s="53">
        <f t="shared" si="10"/>
        <v>-30452.097854445961</v>
      </c>
      <c r="G31" s="53">
        <f t="shared" si="10"/>
        <v>-26033.791851614136</v>
      </c>
      <c r="H31" s="53">
        <f t="shared" si="10"/>
        <v>-21562.530716397094</v>
      </c>
      <c r="I31" s="53">
        <f t="shared" si="10"/>
        <v>-17037.710731448584</v>
      </c>
      <c r="J31" s="53">
        <f t="shared" si="10"/>
        <v>-12458.72196133041</v>
      </c>
      <c r="K31" s="53">
        <f t="shared" si="10"/>
        <v>-7824.9482034620223</v>
      </c>
      <c r="L31" s="53">
        <f t="shared" si="10"/>
        <v>-3135.7669390576257</v>
      </c>
      <c r="M31" s="53">
        <f t="shared" si="10"/>
        <v>1609.4507159370305</v>
      </c>
      <c r="N31" s="53">
        <f t="shared" si="10"/>
        <v>6411.3400598955359</v>
      </c>
      <c r="O31" s="53">
        <f t="shared" si="10"/>
        <v>11270.542854536379</v>
      </c>
      <c r="P31" s="53">
        <f t="shared" si="10"/>
        <v>16187.707373909714</v>
      </c>
      <c r="Q31" s="53">
        <f t="shared" si="10"/>
        <v>21163.488453331469</v>
      </c>
      <c r="R31" s="53">
        <f t="shared" si="10"/>
        <v>26198.547538250456</v>
      </c>
      <c r="S31" s="53">
        <f t="shared" si="10"/>
        <v>31293.552733033684</v>
      </c>
      <c r="T31" s="53">
        <f t="shared" si="10"/>
        <v>36449.178849654651</v>
      </c>
      <c r="U31" s="53">
        <f t="shared" si="10"/>
        <v>41666.107456268845</v>
      </c>
      <c r="V31" s="53">
        <f t="shared" si="10"/>
        <v>46945.026925660248</v>
      </c>
      <c r="W31" s="53">
        <f t="shared" si="10"/>
        <v>52286.632483542104</v>
      </c>
      <c r="X31" s="53">
        <f t="shared" si="10"/>
        <v>57691.626256694683</v>
      </c>
      <c r="Y31" s="53">
        <f t="shared" si="10"/>
        <v>63160.717320922282</v>
      </c>
      <c r="Z31" s="53">
        <f t="shared" si="10"/>
        <v>68694.621748811187</v>
      </c>
      <c r="AA31" s="53">
        <f t="shared" si="10"/>
        <v>74294.062657269576</v>
      </c>
    </row>
    <row r="32" spans="1:28" ht="12.95" hidden="1" customHeight="1" outlineLevel="1">
      <c r="A32" t="s">
        <v>60</v>
      </c>
      <c r="B32">
        <v>1</v>
      </c>
      <c r="C32" s="18">
        <f>+IF(C31&gt;0,0,1)</f>
        <v>1</v>
      </c>
      <c r="D32" s="18">
        <f t="shared" ref="D32:AA32" si="11">+IF(D31&gt;0,0,1)</f>
        <v>1</v>
      </c>
      <c r="E32" s="18">
        <f t="shared" si="11"/>
        <v>1</v>
      </c>
      <c r="F32" s="18">
        <f t="shared" si="11"/>
        <v>1</v>
      </c>
      <c r="G32" s="18">
        <f t="shared" si="11"/>
        <v>1</v>
      </c>
      <c r="H32" s="18">
        <f t="shared" si="11"/>
        <v>1</v>
      </c>
      <c r="I32" s="18">
        <f t="shared" si="11"/>
        <v>1</v>
      </c>
      <c r="J32" s="18">
        <f t="shared" si="11"/>
        <v>1</v>
      </c>
      <c r="K32" s="18">
        <f t="shared" si="11"/>
        <v>1</v>
      </c>
      <c r="L32" s="18">
        <f t="shared" si="11"/>
        <v>1</v>
      </c>
      <c r="M32" s="18">
        <f t="shared" si="11"/>
        <v>0</v>
      </c>
      <c r="N32" s="18">
        <f t="shared" si="11"/>
        <v>0</v>
      </c>
      <c r="O32" s="18">
        <f t="shared" si="11"/>
        <v>0</v>
      </c>
      <c r="P32" s="18">
        <f t="shared" si="11"/>
        <v>0</v>
      </c>
      <c r="Q32" s="18">
        <f t="shared" si="11"/>
        <v>0</v>
      </c>
      <c r="R32" s="18">
        <f t="shared" si="11"/>
        <v>0</v>
      </c>
      <c r="S32" s="18">
        <f t="shared" si="11"/>
        <v>0</v>
      </c>
      <c r="T32" s="18">
        <f t="shared" si="11"/>
        <v>0</v>
      </c>
      <c r="U32" s="18">
        <f t="shared" si="11"/>
        <v>0</v>
      </c>
      <c r="V32" s="18">
        <f t="shared" si="11"/>
        <v>0</v>
      </c>
      <c r="W32" s="18">
        <f t="shared" si="11"/>
        <v>0</v>
      </c>
      <c r="X32" s="18">
        <f t="shared" si="11"/>
        <v>0</v>
      </c>
      <c r="Y32" s="18">
        <f t="shared" si="11"/>
        <v>0</v>
      </c>
      <c r="Z32" s="18">
        <f t="shared" si="11"/>
        <v>0</v>
      </c>
      <c r="AA32" s="18">
        <f t="shared" si="11"/>
        <v>0</v>
      </c>
      <c r="AB32">
        <f>SUM(B32:AA32)</f>
        <v>11</v>
      </c>
    </row>
    <row r="33" spans="1:28" collapsed="1">
      <c r="A33" t="s">
        <v>62</v>
      </c>
      <c r="C33" s="18">
        <f t="shared" ref="C33:AA33" si="12">-$C$2/$AA$21</f>
        <v>-1904.3051999999998</v>
      </c>
      <c r="D33" s="18">
        <f t="shared" si="12"/>
        <v>-1904.3051999999998</v>
      </c>
      <c r="E33" s="18">
        <f t="shared" si="12"/>
        <v>-1904.3051999999998</v>
      </c>
      <c r="F33" s="18">
        <f t="shared" si="12"/>
        <v>-1904.3051999999998</v>
      </c>
      <c r="G33" s="18">
        <f t="shared" si="12"/>
        <v>-1904.3051999999998</v>
      </c>
      <c r="H33" s="18">
        <f t="shared" si="12"/>
        <v>-1904.3051999999998</v>
      </c>
      <c r="I33" s="18">
        <f t="shared" si="12"/>
        <v>-1904.3051999999998</v>
      </c>
      <c r="J33" s="18">
        <f t="shared" si="12"/>
        <v>-1904.3051999999998</v>
      </c>
      <c r="K33" s="18">
        <f t="shared" si="12"/>
        <v>-1904.3051999999998</v>
      </c>
      <c r="L33" s="18">
        <f t="shared" si="12"/>
        <v>-1904.3051999999998</v>
      </c>
      <c r="M33" s="18">
        <f t="shared" si="12"/>
        <v>-1904.3051999999998</v>
      </c>
      <c r="N33" s="18">
        <f t="shared" si="12"/>
        <v>-1904.3051999999998</v>
      </c>
      <c r="O33" s="18">
        <f t="shared" si="12"/>
        <v>-1904.3051999999998</v>
      </c>
      <c r="P33" s="18">
        <f t="shared" si="12"/>
        <v>-1904.3051999999998</v>
      </c>
      <c r="Q33" s="18">
        <f t="shared" si="12"/>
        <v>-1904.3051999999998</v>
      </c>
      <c r="R33" s="18">
        <f t="shared" si="12"/>
        <v>-1904.3051999999998</v>
      </c>
      <c r="S33" s="18">
        <f t="shared" si="12"/>
        <v>-1904.3051999999998</v>
      </c>
      <c r="T33" s="18">
        <f t="shared" si="12"/>
        <v>-1904.3051999999998</v>
      </c>
      <c r="U33" s="18">
        <f t="shared" si="12"/>
        <v>-1904.3051999999998</v>
      </c>
      <c r="V33" s="18">
        <f t="shared" si="12"/>
        <v>-1904.3051999999998</v>
      </c>
      <c r="W33" s="18">
        <f t="shared" si="12"/>
        <v>-1904.3051999999998</v>
      </c>
      <c r="X33" s="18">
        <f t="shared" si="12"/>
        <v>-1904.3051999999998</v>
      </c>
      <c r="Y33" s="18">
        <f t="shared" si="12"/>
        <v>-1904.3051999999998</v>
      </c>
      <c r="Z33" s="18">
        <f t="shared" si="12"/>
        <v>-1904.3051999999998</v>
      </c>
      <c r="AA33" s="18">
        <f t="shared" si="12"/>
        <v>-1904.3051999999998</v>
      </c>
      <c r="AB33">
        <f>SUM(B33:AA33)</f>
        <v>-47607.630000000005</v>
      </c>
    </row>
    <row r="34" spans="1:28">
      <c r="A34" t="s">
        <v>67</v>
      </c>
      <c r="B34" s="20"/>
      <c r="C34" s="37">
        <f t="shared" ref="C34:AA34" si="13">+C30+C33</f>
        <v>2308.0947999999999</v>
      </c>
      <c r="D34" s="37">
        <f t="shared" si="13"/>
        <v>2358.6962640000011</v>
      </c>
      <c r="E34" s="37">
        <f t="shared" si="13"/>
        <v>2409.8770628270413</v>
      </c>
      <c r="F34" s="37">
        <f t="shared" si="13"/>
        <v>2461.6432187269957</v>
      </c>
      <c r="G34" s="37">
        <f t="shared" si="13"/>
        <v>2514.0008028318243</v>
      </c>
      <c r="H34" s="37">
        <f t="shared" si="13"/>
        <v>2566.9559352170418</v>
      </c>
      <c r="I34" s="37">
        <f t="shared" si="13"/>
        <v>2620.5147849485102</v>
      </c>
      <c r="J34" s="37">
        <f t="shared" si="13"/>
        <v>2674.6835701181744</v>
      </c>
      <c r="K34" s="37">
        <f t="shared" si="13"/>
        <v>2729.4685578683875</v>
      </c>
      <c r="L34" s="37">
        <f t="shared" si="13"/>
        <v>2784.8760644043969</v>
      </c>
      <c r="M34" s="37">
        <f t="shared" si="13"/>
        <v>2840.9124549946564</v>
      </c>
      <c r="N34" s="37">
        <f t="shared" si="13"/>
        <v>2897.5841439585056</v>
      </c>
      <c r="O34" s="37">
        <f t="shared" si="13"/>
        <v>2954.8975946408436</v>
      </c>
      <c r="P34" s="37">
        <f t="shared" si="13"/>
        <v>3012.8593193733359</v>
      </c>
      <c r="Q34" s="37">
        <f t="shared" si="13"/>
        <v>3071.4758794217569</v>
      </c>
      <c r="R34" s="37">
        <f t="shared" si="13"/>
        <v>3130.7538849189868</v>
      </c>
      <c r="S34" s="37">
        <f t="shared" si="13"/>
        <v>3190.6999947832273</v>
      </c>
      <c r="T34" s="37">
        <f t="shared" si="13"/>
        <v>3251.3209166209663</v>
      </c>
      <c r="U34" s="37">
        <f t="shared" si="13"/>
        <v>3312.623406614196</v>
      </c>
      <c r="V34" s="37">
        <f t="shared" si="13"/>
        <v>3374.6142693914053</v>
      </c>
      <c r="W34" s="37">
        <f t="shared" si="13"/>
        <v>3437.3003578818561</v>
      </c>
      <c r="X34" s="37">
        <f t="shared" si="13"/>
        <v>3500.6885731525754</v>
      </c>
      <c r="Y34" s="37">
        <f t="shared" si="13"/>
        <v>3564.7858642276015</v>
      </c>
      <c r="Z34" s="37">
        <f t="shared" si="13"/>
        <v>3629.5992278888989</v>
      </c>
      <c r="AA34" s="37">
        <f t="shared" si="13"/>
        <v>3695.1357084583851</v>
      </c>
    </row>
    <row r="35" spans="1:28">
      <c r="A35" t="s">
        <v>68</v>
      </c>
      <c r="B35" s="23"/>
      <c r="C35" s="46">
        <f>-C34*$C$13</f>
        <v>-2192.6900599999999</v>
      </c>
      <c r="D35" s="46">
        <f t="shared" ref="D35:AA35" si="14">-D34*$C$13</f>
        <v>-2240.7614508000011</v>
      </c>
      <c r="E35" s="46">
        <f t="shared" si="14"/>
        <v>-2289.3832096856891</v>
      </c>
      <c r="F35" s="46">
        <f t="shared" si="14"/>
        <v>-2338.5610577906459</v>
      </c>
      <c r="G35" s="46">
        <f t="shared" si="14"/>
        <v>-2388.3007626902331</v>
      </c>
      <c r="H35" s="46">
        <f t="shared" si="14"/>
        <v>-2438.6081384561894</v>
      </c>
      <c r="I35" s="46">
        <f t="shared" si="14"/>
        <v>-2489.4890457010847</v>
      </c>
      <c r="J35" s="46">
        <f t="shared" si="14"/>
        <v>-2540.9493916122656</v>
      </c>
      <c r="K35" s="46">
        <f t="shared" si="14"/>
        <v>-2592.9951299749682</v>
      </c>
      <c r="L35" s="46">
        <f t="shared" si="14"/>
        <v>-2645.632261184177</v>
      </c>
      <c r="M35" s="46">
        <f t="shared" si="14"/>
        <v>-2698.8668322449234</v>
      </c>
      <c r="N35" s="46">
        <f t="shared" si="14"/>
        <v>-2752.70493676058</v>
      </c>
      <c r="O35" s="46">
        <f t="shared" si="14"/>
        <v>-2807.1527149088015</v>
      </c>
      <c r="P35" s="46">
        <f t="shared" si="14"/>
        <v>-2862.216353404669</v>
      </c>
      <c r="Q35" s="46">
        <f t="shared" si="14"/>
        <v>-2917.9020854506689</v>
      </c>
      <c r="R35" s="46">
        <f t="shared" si="14"/>
        <v>-2974.2161906730375</v>
      </c>
      <c r="S35" s="46">
        <f t="shared" si="14"/>
        <v>-3031.164995044066</v>
      </c>
      <c r="T35" s="46">
        <f t="shared" si="14"/>
        <v>-3088.7548707899177</v>
      </c>
      <c r="U35" s="46">
        <f t="shared" si="14"/>
        <v>-3146.9922362834859</v>
      </c>
      <c r="V35" s="46">
        <f t="shared" si="14"/>
        <v>-3205.8835559218351</v>
      </c>
      <c r="W35" s="46">
        <f t="shared" si="14"/>
        <v>-3265.4353399877632</v>
      </c>
      <c r="X35" s="46">
        <f t="shared" si="14"/>
        <v>-3325.6541444949466</v>
      </c>
      <c r="Y35" s="46">
        <f t="shared" si="14"/>
        <v>-3386.5465710162212</v>
      </c>
      <c r="Z35" s="46">
        <f t="shared" si="14"/>
        <v>-3448.1192664944538</v>
      </c>
      <c r="AA35" s="46">
        <f t="shared" si="14"/>
        <v>-3510.3789230354655</v>
      </c>
    </row>
    <row r="36" spans="1:28" hidden="1" outlineLevel="1">
      <c r="A36" s="4" t="s">
        <v>1</v>
      </c>
      <c r="B36">
        <f>+B30</f>
        <v>-47607.63</v>
      </c>
      <c r="C36" s="18">
        <f>+B36+C30+C35</f>
        <v>-45587.920059999997</v>
      </c>
      <c r="D36" s="18">
        <f t="shared" ref="D36:AA36" si="15">+C36+D30+D35</f>
        <v>-43565.6800468</v>
      </c>
      <c r="E36" s="18">
        <f t="shared" si="15"/>
        <v>-41540.880993658648</v>
      </c>
      <c r="F36" s="18">
        <f t="shared" si="15"/>
        <v>-39513.493632722297</v>
      </c>
      <c r="G36" s="18">
        <f t="shared" si="15"/>
        <v>-37483.488392580708</v>
      </c>
      <c r="H36" s="18">
        <f t="shared" si="15"/>
        <v>-35450.835395819857</v>
      </c>
      <c r="I36" s="18">
        <f t="shared" si="15"/>
        <v>-33415.504456572431</v>
      </c>
      <c r="J36" s="18">
        <f t="shared" si="15"/>
        <v>-31377.465078066525</v>
      </c>
      <c r="K36" s="18">
        <f t="shared" si="15"/>
        <v>-29336.686450173103</v>
      </c>
      <c r="L36" s="18">
        <f t="shared" si="15"/>
        <v>-27293.137446952882</v>
      </c>
      <c r="M36" s="18">
        <f t="shared" si="15"/>
        <v>-25246.786624203149</v>
      </c>
      <c r="N36" s="18">
        <f t="shared" si="15"/>
        <v>-23197.602217005224</v>
      </c>
      <c r="O36" s="18">
        <f t="shared" si="15"/>
        <v>-21145.552137273182</v>
      </c>
      <c r="P36" s="18">
        <f t="shared" si="15"/>
        <v>-19090.603971304517</v>
      </c>
      <c r="Q36" s="18">
        <f t="shared" si="15"/>
        <v>-17032.72497733343</v>
      </c>
      <c r="R36" s="18">
        <f t="shared" si="15"/>
        <v>-14971.882083087481</v>
      </c>
      <c r="S36" s="18">
        <f t="shared" si="15"/>
        <v>-12908.04188334832</v>
      </c>
      <c r="T36" s="18">
        <f t="shared" si="15"/>
        <v>-10841.170637517273</v>
      </c>
      <c r="U36" s="18">
        <f t="shared" si="15"/>
        <v>-8771.2342671865626</v>
      </c>
      <c r="V36" s="18">
        <f t="shared" si="15"/>
        <v>-6698.1983537169926</v>
      </c>
      <c r="W36" s="18">
        <f t="shared" si="15"/>
        <v>-4622.0281358229004</v>
      </c>
      <c r="X36" s="18">
        <f t="shared" si="15"/>
        <v>-2542.6885071652719</v>
      </c>
      <c r="Y36" s="18">
        <f t="shared" si="15"/>
        <v>-460.14401395389177</v>
      </c>
      <c r="Z36" s="18">
        <f t="shared" si="15"/>
        <v>1625.6411474405531</v>
      </c>
      <c r="AA36" s="18">
        <f t="shared" si="15"/>
        <v>3714.7031328634725</v>
      </c>
    </row>
    <row r="37" spans="1:28" collapsed="1">
      <c r="A37" t="s">
        <v>0</v>
      </c>
      <c r="B37" s="20"/>
      <c r="C37" s="37">
        <f>+C34+C35</f>
        <v>115.40473999999995</v>
      </c>
      <c r="D37" s="37">
        <f t="shared" ref="D37:AA37" si="16">+D34+D35</f>
        <v>117.93481320000001</v>
      </c>
      <c r="E37" s="37">
        <f t="shared" si="16"/>
        <v>120.49385314135225</v>
      </c>
      <c r="F37" s="37">
        <f t="shared" si="16"/>
        <v>123.08216093634974</v>
      </c>
      <c r="G37" s="37">
        <f t="shared" si="16"/>
        <v>125.70004014159122</v>
      </c>
      <c r="H37" s="37">
        <f t="shared" si="16"/>
        <v>128.34779676085236</v>
      </c>
      <c r="I37" s="37">
        <f t="shared" si="16"/>
        <v>131.02573924742546</v>
      </c>
      <c r="J37" s="37">
        <f t="shared" si="16"/>
        <v>133.73417850590886</v>
      </c>
      <c r="K37" s="37">
        <f t="shared" si="16"/>
        <v>136.47342789341928</v>
      </c>
      <c r="L37" s="37">
        <f t="shared" si="16"/>
        <v>139.24380322021989</v>
      </c>
      <c r="M37" s="37">
        <f t="shared" si="16"/>
        <v>142.04562274973296</v>
      </c>
      <c r="N37" s="37">
        <f t="shared" si="16"/>
        <v>144.87920719792555</v>
      </c>
      <c r="O37" s="37">
        <f t="shared" si="16"/>
        <v>147.74487973204214</v>
      </c>
      <c r="P37" s="37">
        <f t="shared" si="16"/>
        <v>150.64296596866689</v>
      </c>
      <c r="Q37" s="37">
        <f t="shared" si="16"/>
        <v>153.57379397108798</v>
      </c>
      <c r="R37" s="37">
        <f t="shared" si="16"/>
        <v>156.5376942459493</v>
      </c>
      <c r="S37" s="37">
        <f t="shared" si="16"/>
        <v>159.53499973916132</v>
      </c>
      <c r="T37" s="37">
        <f t="shared" si="16"/>
        <v>162.56604583104854</v>
      </c>
      <c r="U37" s="37">
        <f t="shared" si="16"/>
        <v>165.63117033071012</v>
      </c>
      <c r="V37" s="37">
        <f t="shared" si="16"/>
        <v>168.73071346957022</v>
      </c>
      <c r="W37" s="37">
        <f t="shared" si="16"/>
        <v>171.86501789409294</v>
      </c>
      <c r="X37" s="37">
        <f t="shared" si="16"/>
        <v>175.03442865762872</v>
      </c>
      <c r="Y37" s="37">
        <f t="shared" si="16"/>
        <v>178.2392932113803</v>
      </c>
      <c r="Z37" s="37">
        <f t="shared" si="16"/>
        <v>181.47996139444513</v>
      </c>
      <c r="AA37" s="37">
        <f t="shared" si="16"/>
        <v>184.75678542291962</v>
      </c>
    </row>
    <row r="38" spans="1:28">
      <c r="A38" t="s">
        <v>11</v>
      </c>
      <c r="C38" s="18">
        <f t="shared" ref="C38:AA38" si="17">-IF(C36&lt;0,0,IF(B36&gt;0,C30,C36))*$C$15</f>
        <v>0</v>
      </c>
      <c r="D38" s="18">
        <f t="shared" si="17"/>
        <v>0</v>
      </c>
      <c r="E38" s="18">
        <f t="shared" si="17"/>
        <v>0</v>
      </c>
      <c r="F38" s="18">
        <f t="shared" si="17"/>
        <v>0</v>
      </c>
      <c r="G38" s="18">
        <f t="shared" si="17"/>
        <v>0</v>
      </c>
      <c r="H38" s="18">
        <f t="shared" si="17"/>
        <v>0</v>
      </c>
      <c r="I38" s="18">
        <f t="shared" si="17"/>
        <v>0</v>
      </c>
      <c r="J38" s="18">
        <f t="shared" si="17"/>
        <v>0</v>
      </c>
      <c r="K38" s="18">
        <f t="shared" si="17"/>
        <v>0</v>
      </c>
      <c r="L38" s="18">
        <f t="shared" si="17"/>
        <v>0</v>
      </c>
      <c r="M38" s="18">
        <f t="shared" si="17"/>
        <v>0</v>
      </c>
      <c r="N38" s="18">
        <f t="shared" si="17"/>
        <v>0</v>
      </c>
      <c r="O38" s="18">
        <f t="shared" si="17"/>
        <v>0</v>
      </c>
      <c r="P38" s="18">
        <f t="shared" si="17"/>
        <v>0</v>
      </c>
      <c r="Q38" s="18">
        <f t="shared" si="17"/>
        <v>0</v>
      </c>
      <c r="R38" s="18">
        <f t="shared" si="17"/>
        <v>0</v>
      </c>
      <c r="S38" s="18">
        <f t="shared" si="17"/>
        <v>0</v>
      </c>
      <c r="T38" s="18">
        <f t="shared" si="17"/>
        <v>0</v>
      </c>
      <c r="U38" s="18">
        <f t="shared" si="17"/>
        <v>0</v>
      </c>
      <c r="V38" s="18">
        <f t="shared" si="17"/>
        <v>0</v>
      </c>
      <c r="W38" s="18">
        <f t="shared" si="17"/>
        <v>0</v>
      </c>
      <c r="X38" s="18">
        <f t="shared" si="17"/>
        <v>0</v>
      </c>
      <c r="Y38" s="18">
        <f t="shared" si="17"/>
        <v>0</v>
      </c>
      <c r="Z38" s="18">
        <f t="shared" si="17"/>
        <v>-325.12822948811066</v>
      </c>
      <c r="AA38" s="18">
        <f t="shared" si="17"/>
        <v>-1119.8881816916771</v>
      </c>
    </row>
    <row r="39" spans="1:28">
      <c r="A39" t="s">
        <v>13</v>
      </c>
      <c r="B39" s="20"/>
      <c r="C39" s="37">
        <f>+C37+C38</f>
        <v>115.40473999999995</v>
      </c>
      <c r="D39" s="37">
        <f t="shared" ref="D39:AA39" si="18">+D37+D38</f>
        <v>117.93481320000001</v>
      </c>
      <c r="E39" s="37">
        <f t="shared" si="18"/>
        <v>120.49385314135225</v>
      </c>
      <c r="F39" s="37">
        <f t="shared" si="18"/>
        <v>123.08216093634974</v>
      </c>
      <c r="G39" s="37">
        <f t="shared" si="18"/>
        <v>125.70004014159122</v>
      </c>
      <c r="H39" s="37">
        <f t="shared" si="18"/>
        <v>128.34779676085236</v>
      </c>
      <c r="I39" s="37">
        <f t="shared" si="18"/>
        <v>131.02573924742546</v>
      </c>
      <c r="J39" s="37">
        <f t="shared" si="18"/>
        <v>133.73417850590886</v>
      </c>
      <c r="K39" s="37">
        <f t="shared" si="18"/>
        <v>136.47342789341928</v>
      </c>
      <c r="L39" s="37">
        <f t="shared" si="18"/>
        <v>139.24380322021989</v>
      </c>
      <c r="M39" s="37">
        <f t="shared" si="18"/>
        <v>142.04562274973296</v>
      </c>
      <c r="N39" s="37">
        <f t="shared" si="18"/>
        <v>144.87920719792555</v>
      </c>
      <c r="O39" s="37">
        <f t="shared" si="18"/>
        <v>147.74487973204214</v>
      </c>
      <c r="P39" s="37">
        <f t="shared" si="18"/>
        <v>150.64296596866689</v>
      </c>
      <c r="Q39" s="37">
        <f t="shared" si="18"/>
        <v>153.57379397108798</v>
      </c>
      <c r="R39" s="37">
        <f t="shared" si="18"/>
        <v>156.5376942459493</v>
      </c>
      <c r="S39" s="37">
        <f t="shared" si="18"/>
        <v>159.53499973916132</v>
      </c>
      <c r="T39" s="37">
        <f t="shared" si="18"/>
        <v>162.56604583104854</v>
      </c>
      <c r="U39" s="37">
        <f t="shared" si="18"/>
        <v>165.63117033071012</v>
      </c>
      <c r="V39" s="37">
        <f t="shared" si="18"/>
        <v>168.73071346957022</v>
      </c>
      <c r="W39" s="37">
        <f t="shared" si="18"/>
        <v>171.86501789409294</v>
      </c>
      <c r="X39" s="37">
        <f t="shared" si="18"/>
        <v>175.03442865762872</v>
      </c>
      <c r="Y39" s="37">
        <f t="shared" si="18"/>
        <v>178.2392932113803</v>
      </c>
      <c r="Z39" s="37">
        <f t="shared" si="18"/>
        <v>-143.64826809366554</v>
      </c>
      <c r="AA39" s="37">
        <f t="shared" si="18"/>
        <v>-935.1313962687575</v>
      </c>
      <c r="AB39" s="44">
        <f>SUM(C39:AA39)</f>
        <v>2269.6867216836927</v>
      </c>
    </row>
    <row r="40" spans="1:28">
      <c r="B40" s="23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4"/>
    </row>
    <row r="41" spans="1:28">
      <c r="A41" s="4" t="s">
        <v>9</v>
      </c>
      <c r="B41" s="23"/>
      <c r="C41" s="46">
        <v>0</v>
      </c>
      <c r="D41" s="46">
        <f>+C45</f>
        <v>505.70993999999973</v>
      </c>
      <c r="E41" s="46">
        <f t="shared" ref="E41:AA41" si="19">+D45</f>
        <v>632.94995319999953</v>
      </c>
      <c r="F41" s="46">
        <f t="shared" si="19"/>
        <v>664.74900634135156</v>
      </c>
      <c r="G41" s="46">
        <f t="shared" si="19"/>
        <v>673.13636727770108</v>
      </c>
      <c r="H41" s="46">
        <f t="shared" si="19"/>
        <v>676.14160741929209</v>
      </c>
      <c r="I41" s="46">
        <f t="shared" si="19"/>
        <v>677.79460418014423</v>
      </c>
      <c r="J41" s="46">
        <f t="shared" si="19"/>
        <v>679.12554342756948</v>
      </c>
      <c r="K41" s="46">
        <f t="shared" si="19"/>
        <v>680.16492193347813</v>
      </c>
      <c r="L41" s="46">
        <f t="shared" si="19"/>
        <v>680.9435498268972</v>
      </c>
      <c r="M41" s="46">
        <f t="shared" si="19"/>
        <v>681.49255304711687</v>
      </c>
      <c r="N41" s="46">
        <f t="shared" si="19"/>
        <v>682.84337579684961</v>
      </c>
      <c r="O41" s="46">
        <f t="shared" si="19"/>
        <v>683.02778299477495</v>
      </c>
      <c r="P41" s="46">
        <f t="shared" si="19"/>
        <v>684.07786272681687</v>
      </c>
      <c r="Q41" s="46">
        <f t="shared" si="19"/>
        <v>685.02602869548355</v>
      </c>
      <c r="R41" s="46">
        <f t="shared" si="19"/>
        <v>685.90502266657131</v>
      </c>
      <c r="S41" s="46">
        <f t="shared" si="19"/>
        <v>686.7479169125204</v>
      </c>
      <c r="T41" s="46">
        <f t="shared" si="19"/>
        <v>688.5881166516815</v>
      </c>
      <c r="U41" s="46">
        <f t="shared" si="19"/>
        <v>689.45936248272983</v>
      </c>
      <c r="V41" s="46">
        <f t="shared" si="19"/>
        <v>2759.3957328134397</v>
      </c>
      <c r="W41" s="46">
        <f t="shared" si="19"/>
        <v>4832.4316462830102</v>
      </c>
      <c r="X41" s="46">
        <f t="shared" si="19"/>
        <v>6908.6018641771025</v>
      </c>
      <c r="Y41" s="46">
        <f t="shared" si="19"/>
        <v>8987.9414928347305</v>
      </c>
      <c r="Z41" s="46">
        <f t="shared" si="19"/>
        <v>11070.485986046111</v>
      </c>
      <c r="AA41" s="46">
        <f t="shared" si="19"/>
        <v>12831.142917952446</v>
      </c>
      <c r="AB41" s="44"/>
    </row>
    <row r="42" spans="1:28">
      <c r="A42" s="5" t="s">
        <v>14</v>
      </c>
      <c r="C42" s="18">
        <f>+C30+C38+C35</f>
        <v>2019.7099399999997</v>
      </c>
      <c r="D42" s="18">
        <f t="shared" ref="D42:AA42" si="20">+D30+D38+D35</f>
        <v>2022.2400131999998</v>
      </c>
      <c r="E42" s="18">
        <f t="shared" si="20"/>
        <v>2024.799053141352</v>
      </c>
      <c r="F42" s="18">
        <f t="shared" si="20"/>
        <v>2027.3873609363495</v>
      </c>
      <c r="G42" s="18">
        <f t="shared" si="20"/>
        <v>2030.005240141591</v>
      </c>
      <c r="H42" s="18">
        <f t="shared" si="20"/>
        <v>2032.6529967608521</v>
      </c>
      <c r="I42" s="18">
        <f t="shared" si="20"/>
        <v>2035.3309392474252</v>
      </c>
      <c r="J42" s="18">
        <f t="shared" si="20"/>
        <v>2038.0393785059086</v>
      </c>
      <c r="K42" s="18">
        <f t="shared" si="20"/>
        <v>2040.7786278934191</v>
      </c>
      <c r="L42" s="18">
        <f t="shared" si="20"/>
        <v>2043.5490032202197</v>
      </c>
      <c r="M42" s="18">
        <f t="shared" si="20"/>
        <v>2046.3508227497327</v>
      </c>
      <c r="N42" s="18">
        <f t="shared" si="20"/>
        <v>2049.1844071979253</v>
      </c>
      <c r="O42" s="18">
        <f t="shared" si="20"/>
        <v>2052.0500797320419</v>
      </c>
      <c r="P42" s="18">
        <f t="shared" si="20"/>
        <v>2054.9481659686667</v>
      </c>
      <c r="Q42" s="18">
        <f t="shared" si="20"/>
        <v>2057.8789939710878</v>
      </c>
      <c r="R42" s="18">
        <f t="shared" si="20"/>
        <v>2060.8428942459491</v>
      </c>
      <c r="S42" s="18">
        <f t="shared" si="20"/>
        <v>2063.8401997391611</v>
      </c>
      <c r="T42" s="18">
        <f t="shared" si="20"/>
        <v>2066.8712458310483</v>
      </c>
      <c r="U42" s="18">
        <f t="shared" si="20"/>
        <v>2069.9363703307099</v>
      </c>
      <c r="V42" s="18">
        <f t="shared" si="20"/>
        <v>2073.03591346957</v>
      </c>
      <c r="W42" s="18">
        <f t="shared" si="20"/>
        <v>2076.1702178940927</v>
      </c>
      <c r="X42" s="18">
        <f t="shared" si="20"/>
        <v>2079.3396286576285</v>
      </c>
      <c r="Y42" s="18">
        <f t="shared" si="20"/>
        <v>2082.5444932113801</v>
      </c>
      <c r="Z42" s="18">
        <f t="shared" si="20"/>
        <v>1760.6569319063346</v>
      </c>
      <c r="AA42" s="18">
        <f t="shared" si="20"/>
        <v>969.17380373124206</v>
      </c>
      <c r="AB42" s="8">
        <f>SUM(B42:AA42)</f>
        <v>49877.316721683688</v>
      </c>
    </row>
    <row r="43" spans="1:28" s="51" customFormat="1">
      <c r="A43" s="57" t="s">
        <v>3</v>
      </c>
      <c r="B43" s="48"/>
      <c r="C43" s="49">
        <f>+IF(ROUND((C41+C42)/$C$10*$C$14-0.5,0)&lt;C47,ROUND((C41+C42)/$C$10*$C$14-0.5,0),0)</f>
        <v>1514</v>
      </c>
      <c r="D43" s="49">
        <f t="shared" ref="D43:AA43" si="21">+IF(ROUND((D41+D42)/$C$10*$C$14-0.5,0)&lt;D47,ROUND((D41+D42)/$C$10*$C$14-0.5,0),0)</f>
        <v>1895</v>
      </c>
      <c r="E43" s="49">
        <f t="shared" si="21"/>
        <v>1993</v>
      </c>
      <c r="F43" s="49">
        <f t="shared" si="21"/>
        <v>2019</v>
      </c>
      <c r="G43" s="49">
        <f t="shared" si="21"/>
        <v>2027</v>
      </c>
      <c r="H43" s="49">
        <f t="shared" si="21"/>
        <v>2031</v>
      </c>
      <c r="I43" s="49">
        <f t="shared" si="21"/>
        <v>2034</v>
      </c>
      <c r="J43" s="49">
        <f t="shared" si="21"/>
        <v>2037</v>
      </c>
      <c r="K43" s="49">
        <f t="shared" si="21"/>
        <v>2040</v>
      </c>
      <c r="L43" s="49">
        <f t="shared" si="21"/>
        <v>2043</v>
      </c>
      <c r="M43" s="49">
        <f t="shared" si="21"/>
        <v>2045</v>
      </c>
      <c r="N43" s="49">
        <f t="shared" si="21"/>
        <v>2049</v>
      </c>
      <c r="O43" s="49">
        <f t="shared" si="21"/>
        <v>2051</v>
      </c>
      <c r="P43" s="49">
        <f t="shared" si="21"/>
        <v>2054</v>
      </c>
      <c r="Q43" s="49">
        <f t="shared" si="21"/>
        <v>2057</v>
      </c>
      <c r="R43" s="49">
        <f t="shared" si="21"/>
        <v>2060</v>
      </c>
      <c r="S43" s="49">
        <f t="shared" si="21"/>
        <v>2062</v>
      </c>
      <c r="T43" s="49">
        <f t="shared" si="21"/>
        <v>2066</v>
      </c>
      <c r="U43" s="49">
        <f t="shared" si="21"/>
        <v>0</v>
      </c>
      <c r="V43" s="49">
        <f t="shared" si="21"/>
        <v>0</v>
      </c>
      <c r="W43" s="49">
        <f t="shared" si="21"/>
        <v>0</v>
      </c>
      <c r="X43" s="49">
        <f t="shared" si="21"/>
        <v>0</v>
      </c>
      <c r="Y43" s="49">
        <f t="shared" si="21"/>
        <v>0</v>
      </c>
      <c r="Z43" s="49">
        <f t="shared" si="21"/>
        <v>0</v>
      </c>
      <c r="AA43" s="49">
        <f t="shared" si="21"/>
        <v>0</v>
      </c>
      <c r="AB43" s="50"/>
    </row>
    <row r="44" spans="1:28" s="55" customFormat="1">
      <c r="A44" s="58" t="s">
        <v>4</v>
      </c>
      <c r="B44" s="52"/>
      <c r="C44" s="53">
        <f>-C43*$C$10</f>
        <v>-1514</v>
      </c>
      <c r="D44" s="53">
        <f t="shared" ref="D44:AA44" si="22">-D43*$C$10</f>
        <v>-1895</v>
      </c>
      <c r="E44" s="53">
        <f t="shared" si="22"/>
        <v>-1993</v>
      </c>
      <c r="F44" s="53">
        <f t="shared" si="22"/>
        <v>-2019</v>
      </c>
      <c r="G44" s="53">
        <f t="shared" si="22"/>
        <v>-2027</v>
      </c>
      <c r="H44" s="53">
        <f t="shared" si="22"/>
        <v>-2031</v>
      </c>
      <c r="I44" s="53">
        <f t="shared" si="22"/>
        <v>-2034</v>
      </c>
      <c r="J44" s="53">
        <f t="shared" si="22"/>
        <v>-2037</v>
      </c>
      <c r="K44" s="53">
        <f t="shared" si="22"/>
        <v>-2040</v>
      </c>
      <c r="L44" s="53">
        <f t="shared" si="22"/>
        <v>-2043</v>
      </c>
      <c r="M44" s="53">
        <f t="shared" si="22"/>
        <v>-2045</v>
      </c>
      <c r="N44" s="53">
        <f t="shared" si="22"/>
        <v>-2049</v>
      </c>
      <c r="O44" s="53">
        <f t="shared" si="22"/>
        <v>-2051</v>
      </c>
      <c r="P44" s="53">
        <f t="shared" si="22"/>
        <v>-2054</v>
      </c>
      <c r="Q44" s="53">
        <f t="shared" si="22"/>
        <v>-2057</v>
      </c>
      <c r="R44" s="53">
        <f t="shared" si="22"/>
        <v>-2060</v>
      </c>
      <c r="S44" s="53">
        <f t="shared" si="22"/>
        <v>-2062</v>
      </c>
      <c r="T44" s="53">
        <f t="shared" si="22"/>
        <v>-2066</v>
      </c>
      <c r="U44" s="53">
        <f t="shared" si="22"/>
        <v>0</v>
      </c>
      <c r="V44" s="53">
        <f t="shared" si="22"/>
        <v>0</v>
      </c>
      <c r="W44" s="53">
        <f t="shared" si="22"/>
        <v>0</v>
      </c>
      <c r="X44" s="53">
        <f t="shared" si="22"/>
        <v>0</v>
      </c>
      <c r="Y44" s="53">
        <f t="shared" si="22"/>
        <v>0</v>
      </c>
      <c r="Z44" s="53">
        <f t="shared" si="22"/>
        <v>0</v>
      </c>
      <c r="AA44" s="53">
        <f t="shared" si="22"/>
        <v>0</v>
      </c>
      <c r="AB44" s="54"/>
    </row>
    <row r="45" spans="1:28" s="55" customFormat="1">
      <c r="A45" s="56" t="s">
        <v>2</v>
      </c>
      <c r="B45" s="52"/>
      <c r="C45" s="53">
        <f>+C41+C42+C44</f>
        <v>505.70993999999973</v>
      </c>
      <c r="D45" s="53">
        <f t="shared" ref="D45:AA45" si="23">+D41+D42+D44</f>
        <v>632.94995319999953</v>
      </c>
      <c r="E45" s="53">
        <f t="shared" si="23"/>
        <v>664.74900634135156</v>
      </c>
      <c r="F45" s="53">
        <f t="shared" si="23"/>
        <v>673.13636727770108</v>
      </c>
      <c r="G45" s="53">
        <f t="shared" si="23"/>
        <v>676.14160741929209</v>
      </c>
      <c r="H45" s="53">
        <f t="shared" si="23"/>
        <v>677.79460418014423</v>
      </c>
      <c r="I45" s="53">
        <f t="shared" si="23"/>
        <v>679.12554342756948</v>
      </c>
      <c r="J45" s="53">
        <f t="shared" si="23"/>
        <v>680.16492193347813</v>
      </c>
      <c r="K45" s="53">
        <f t="shared" si="23"/>
        <v>680.9435498268972</v>
      </c>
      <c r="L45" s="53">
        <f t="shared" si="23"/>
        <v>681.49255304711687</v>
      </c>
      <c r="M45" s="53">
        <f t="shared" si="23"/>
        <v>682.84337579684961</v>
      </c>
      <c r="N45" s="53">
        <f t="shared" si="23"/>
        <v>683.02778299477495</v>
      </c>
      <c r="O45" s="53">
        <f t="shared" si="23"/>
        <v>684.07786272681687</v>
      </c>
      <c r="P45" s="53">
        <f t="shared" si="23"/>
        <v>685.02602869548355</v>
      </c>
      <c r="Q45" s="53">
        <f t="shared" si="23"/>
        <v>685.90502266657131</v>
      </c>
      <c r="R45" s="53">
        <f t="shared" si="23"/>
        <v>686.7479169125204</v>
      </c>
      <c r="S45" s="53">
        <f t="shared" si="23"/>
        <v>688.5881166516815</v>
      </c>
      <c r="T45" s="53">
        <f t="shared" si="23"/>
        <v>689.45936248272983</v>
      </c>
      <c r="U45" s="53">
        <f t="shared" si="23"/>
        <v>2759.3957328134397</v>
      </c>
      <c r="V45" s="53">
        <f t="shared" si="23"/>
        <v>4832.4316462830102</v>
      </c>
      <c r="W45" s="53">
        <f t="shared" si="23"/>
        <v>6908.6018641771025</v>
      </c>
      <c r="X45" s="53">
        <f t="shared" si="23"/>
        <v>8987.9414928347305</v>
      </c>
      <c r="Y45" s="53">
        <f t="shared" si="23"/>
        <v>11070.485986046111</v>
      </c>
      <c r="Z45" s="53">
        <f t="shared" si="23"/>
        <v>12831.142917952446</v>
      </c>
      <c r="AA45" s="53">
        <f t="shared" si="23"/>
        <v>13800.316721683688</v>
      </c>
      <c r="AB45" s="54"/>
    </row>
    <row r="46" spans="1:28">
      <c r="A46" s="39" t="s">
        <v>64</v>
      </c>
      <c r="B46" s="39">
        <f>-C2*(1-C16)</f>
        <v>-38086.103999999999</v>
      </c>
      <c r="C46" s="40">
        <f>-C35-C44</f>
        <v>3706.6900599999999</v>
      </c>
      <c r="D46" s="40">
        <f t="shared" ref="D46:AA46" si="24">-D35-D44</f>
        <v>4135.7614508000006</v>
      </c>
      <c r="E46" s="40">
        <f t="shared" si="24"/>
        <v>4282.3832096856895</v>
      </c>
      <c r="F46" s="40">
        <f t="shared" si="24"/>
        <v>4357.5610577906464</v>
      </c>
      <c r="G46" s="40">
        <f t="shared" si="24"/>
        <v>4415.3007626902327</v>
      </c>
      <c r="H46" s="40">
        <f t="shared" si="24"/>
        <v>4469.6081384561894</v>
      </c>
      <c r="I46" s="40">
        <f t="shared" si="24"/>
        <v>4523.4890457010843</v>
      </c>
      <c r="J46" s="40">
        <f t="shared" si="24"/>
        <v>4577.9493916122656</v>
      </c>
      <c r="K46" s="40">
        <f t="shared" si="24"/>
        <v>4632.9951299749682</v>
      </c>
      <c r="L46" s="40">
        <f t="shared" si="24"/>
        <v>4688.632261184177</v>
      </c>
      <c r="M46" s="40">
        <f t="shared" si="24"/>
        <v>4743.866832244923</v>
      </c>
      <c r="N46" s="40">
        <f t="shared" si="24"/>
        <v>4801.7049367605796</v>
      </c>
      <c r="O46" s="40">
        <f t="shared" si="24"/>
        <v>4858.1527149088015</v>
      </c>
      <c r="P46" s="40">
        <f t="shared" si="24"/>
        <v>4916.2163534046686</v>
      </c>
      <c r="Q46" s="40">
        <f t="shared" si="24"/>
        <v>4974.9020854506689</v>
      </c>
      <c r="R46" s="40">
        <f t="shared" si="24"/>
        <v>5034.216190673038</v>
      </c>
      <c r="S46" s="40">
        <f t="shared" si="24"/>
        <v>5093.164995044066</v>
      </c>
      <c r="T46" s="40">
        <f t="shared" si="24"/>
        <v>5154.7548707899177</v>
      </c>
      <c r="U46" s="40">
        <f t="shared" si="24"/>
        <v>3146.9922362834859</v>
      </c>
      <c r="V46" s="40">
        <f t="shared" si="24"/>
        <v>3205.8835559218351</v>
      </c>
      <c r="W46" s="40">
        <f t="shared" si="24"/>
        <v>3265.4353399877632</v>
      </c>
      <c r="X46" s="40">
        <f t="shared" si="24"/>
        <v>3325.6541444949466</v>
      </c>
      <c r="Y46" s="40">
        <f t="shared" si="24"/>
        <v>3386.5465710162212</v>
      </c>
      <c r="Z46" s="40">
        <f t="shared" si="24"/>
        <v>3448.1192664944538</v>
      </c>
      <c r="AA46" s="40">
        <f t="shared" si="24"/>
        <v>3510.3789230354655</v>
      </c>
      <c r="AB46" s="40"/>
    </row>
    <row r="47" spans="1:28" s="42" customFormat="1">
      <c r="A47" s="59" t="s">
        <v>66</v>
      </c>
      <c r="C47" s="42">
        <f>+C9</f>
        <v>37900</v>
      </c>
      <c r="D47" s="43">
        <f>+C49</f>
        <v>36386</v>
      </c>
      <c r="E47" s="43">
        <f t="shared" ref="E47:AA47" si="25">+D49</f>
        <v>34491</v>
      </c>
      <c r="F47" s="43">
        <f t="shared" si="25"/>
        <v>32498</v>
      </c>
      <c r="G47" s="43">
        <f t="shared" si="25"/>
        <v>30479</v>
      </c>
      <c r="H47" s="43">
        <f t="shared" si="25"/>
        <v>28452</v>
      </c>
      <c r="I47" s="43">
        <f t="shared" si="25"/>
        <v>26421</v>
      </c>
      <c r="J47" s="43">
        <f t="shared" si="25"/>
        <v>24387</v>
      </c>
      <c r="K47" s="43">
        <f t="shared" si="25"/>
        <v>22350</v>
      </c>
      <c r="L47" s="43">
        <f t="shared" si="25"/>
        <v>20310</v>
      </c>
      <c r="M47" s="43">
        <f t="shared" si="25"/>
        <v>18267</v>
      </c>
      <c r="N47" s="43">
        <f t="shared" si="25"/>
        <v>16222</v>
      </c>
      <c r="O47" s="43">
        <f t="shared" si="25"/>
        <v>14173</v>
      </c>
      <c r="P47" s="43">
        <f t="shared" si="25"/>
        <v>12122</v>
      </c>
      <c r="Q47" s="43">
        <f t="shared" si="25"/>
        <v>10068</v>
      </c>
      <c r="R47" s="43">
        <f t="shared" si="25"/>
        <v>8011</v>
      </c>
      <c r="S47" s="43">
        <f t="shared" si="25"/>
        <v>5951</v>
      </c>
      <c r="T47" s="43">
        <f t="shared" si="25"/>
        <v>3889</v>
      </c>
      <c r="U47" s="43">
        <f t="shared" si="25"/>
        <v>1823</v>
      </c>
      <c r="V47" s="43">
        <f t="shared" si="25"/>
        <v>1823</v>
      </c>
      <c r="W47" s="43">
        <f t="shared" si="25"/>
        <v>1823</v>
      </c>
      <c r="X47" s="43">
        <f t="shared" si="25"/>
        <v>1823</v>
      </c>
      <c r="Y47" s="43">
        <f t="shared" si="25"/>
        <v>1823</v>
      </c>
      <c r="Z47" s="43">
        <f t="shared" si="25"/>
        <v>1823</v>
      </c>
      <c r="AA47" s="43">
        <f t="shared" si="25"/>
        <v>1823</v>
      </c>
    </row>
    <row r="48" spans="1:28" s="42" customFormat="1">
      <c r="A48" s="56" t="s">
        <v>4</v>
      </c>
      <c r="C48" s="43">
        <f>-C43</f>
        <v>-1514</v>
      </c>
      <c r="D48" s="43">
        <f>-D43</f>
        <v>-1895</v>
      </c>
      <c r="E48" s="43">
        <f t="shared" ref="E48:AA48" si="26">-E43</f>
        <v>-1993</v>
      </c>
      <c r="F48" s="43">
        <f t="shared" si="26"/>
        <v>-2019</v>
      </c>
      <c r="G48" s="43">
        <f t="shared" si="26"/>
        <v>-2027</v>
      </c>
      <c r="H48" s="43">
        <f t="shared" si="26"/>
        <v>-2031</v>
      </c>
      <c r="I48" s="43">
        <f t="shared" si="26"/>
        <v>-2034</v>
      </c>
      <c r="J48" s="43">
        <f t="shared" si="26"/>
        <v>-2037</v>
      </c>
      <c r="K48" s="43">
        <f t="shared" si="26"/>
        <v>-2040</v>
      </c>
      <c r="L48" s="43">
        <f t="shared" si="26"/>
        <v>-2043</v>
      </c>
      <c r="M48" s="43">
        <f t="shared" si="26"/>
        <v>-2045</v>
      </c>
      <c r="N48" s="43">
        <f t="shared" si="26"/>
        <v>-2049</v>
      </c>
      <c r="O48" s="43">
        <f t="shared" si="26"/>
        <v>-2051</v>
      </c>
      <c r="P48" s="43">
        <f t="shared" si="26"/>
        <v>-2054</v>
      </c>
      <c r="Q48" s="43">
        <f t="shared" si="26"/>
        <v>-2057</v>
      </c>
      <c r="R48" s="43">
        <f t="shared" si="26"/>
        <v>-2060</v>
      </c>
      <c r="S48" s="43">
        <f t="shared" si="26"/>
        <v>-2062</v>
      </c>
      <c r="T48" s="43">
        <f t="shared" si="26"/>
        <v>-2066</v>
      </c>
      <c r="U48" s="43">
        <f t="shared" si="26"/>
        <v>0</v>
      </c>
      <c r="V48" s="43">
        <f t="shared" si="26"/>
        <v>0</v>
      </c>
      <c r="W48" s="43">
        <f t="shared" si="26"/>
        <v>0</v>
      </c>
      <c r="X48" s="43">
        <f t="shared" si="26"/>
        <v>0</v>
      </c>
      <c r="Y48" s="43">
        <f t="shared" si="26"/>
        <v>0</v>
      </c>
      <c r="Z48" s="43">
        <f t="shared" si="26"/>
        <v>0</v>
      </c>
      <c r="AA48" s="43">
        <f t="shared" si="26"/>
        <v>0</v>
      </c>
    </row>
    <row r="49" spans="1:28" s="42" customFormat="1">
      <c r="A49" s="59" t="s">
        <v>5</v>
      </c>
      <c r="C49" s="43">
        <f>+C47+C48</f>
        <v>36386</v>
      </c>
      <c r="D49" s="43">
        <f>+D47+D48</f>
        <v>34491</v>
      </c>
      <c r="E49" s="43">
        <f t="shared" ref="E49:AA49" si="27">+E47+E48</f>
        <v>32498</v>
      </c>
      <c r="F49" s="43">
        <f t="shared" si="27"/>
        <v>30479</v>
      </c>
      <c r="G49" s="43">
        <f t="shared" si="27"/>
        <v>28452</v>
      </c>
      <c r="H49" s="43">
        <f t="shared" si="27"/>
        <v>26421</v>
      </c>
      <c r="I49" s="43">
        <f t="shared" si="27"/>
        <v>24387</v>
      </c>
      <c r="J49" s="43">
        <f t="shared" si="27"/>
        <v>22350</v>
      </c>
      <c r="K49" s="43">
        <f t="shared" si="27"/>
        <v>20310</v>
      </c>
      <c r="L49" s="43">
        <f t="shared" si="27"/>
        <v>18267</v>
      </c>
      <c r="M49" s="43">
        <f t="shared" si="27"/>
        <v>16222</v>
      </c>
      <c r="N49" s="43">
        <f t="shared" si="27"/>
        <v>14173</v>
      </c>
      <c r="O49" s="43">
        <f t="shared" si="27"/>
        <v>12122</v>
      </c>
      <c r="P49" s="43">
        <f t="shared" si="27"/>
        <v>10068</v>
      </c>
      <c r="Q49" s="43">
        <f t="shared" si="27"/>
        <v>8011</v>
      </c>
      <c r="R49" s="43">
        <f t="shared" si="27"/>
        <v>5951</v>
      </c>
      <c r="S49" s="43">
        <f t="shared" si="27"/>
        <v>3889</v>
      </c>
      <c r="T49" s="43">
        <f t="shared" si="27"/>
        <v>1823</v>
      </c>
      <c r="U49" s="43">
        <f t="shared" si="27"/>
        <v>1823</v>
      </c>
      <c r="V49" s="43">
        <f t="shared" si="27"/>
        <v>1823</v>
      </c>
      <c r="W49" s="43">
        <f t="shared" si="27"/>
        <v>1823</v>
      </c>
      <c r="X49" s="43">
        <f t="shared" si="27"/>
        <v>1823</v>
      </c>
      <c r="Y49" s="43">
        <f t="shared" si="27"/>
        <v>1823</v>
      </c>
      <c r="Z49" s="43">
        <f t="shared" si="27"/>
        <v>1823</v>
      </c>
      <c r="AA49" s="43">
        <f t="shared" si="27"/>
        <v>1823</v>
      </c>
    </row>
    <row r="50" spans="1:28" s="42" customFormat="1">
      <c r="A50" s="42" t="s">
        <v>6</v>
      </c>
      <c r="C50" s="62">
        <f>-C35/C49</f>
        <v>6.0261915571923265E-2</v>
      </c>
      <c r="D50" s="62">
        <f t="shared" ref="D50:AA50" si="28">-D35/D49</f>
        <v>6.4966555066539131E-2</v>
      </c>
      <c r="E50" s="62">
        <f t="shared" si="28"/>
        <v>7.0446895491589917E-2</v>
      </c>
      <c r="F50" s="62">
        <f t="shared" si="28"/>
        <v>7.6726961441997629E-2</v>
      </c>
      <c r="G50" s="62">
        <f t="shared" si="28"/>
        <v>8.3941401753487743E-2</v>
      </c>
      <c r="H50" s="62">
        <f t="shared" si="28"/>
        <v>9.2298101451731174E-2</v>
      </c>
      <c r="I50" s="62">
        <f t="shared" si="28"/>
        <v>0.10208262786325029</v>
      </c>
      <c r="J50" s="62">
        <f t="shared" si="28"/>
        <v>0.11368901081039219</v>
      </c>
      <c r="K50" s="62">
        <f t="shared" si="28"/>
        <v>0.12767085819669957</v>
      </c>
      <c r="L50" s="62">
        <f t="shared" si="28"/>
        <v>0.14483124000570302</v>
      </c>
      <c r="M50" s="62">
        <f t="shared" si="28"/>
        <v>0.16637078240937761</v>
      </c>
      <c r="N50" s="62">
        <f t="shared" si="28"/>
        <v>0.19422175522194171</v>
      </c>
      <c r="O50" s="62">
        <f t="shared" si="28"/>
        <v>0.231575046601947</v>
      </c>
      <c r="P50" s="62">
        <f t="shared" si="28"/>
        <v>0.28428847371917648</v>
      </c>
      <c r="Q50" s="62">
        <f t="shared" si="28"/>
        <v>0.36423693489585179</v>
      </c>
      <c r="R50" s="62">
        <f t="shared" si="28"/>
        <v>0.49978426998370651</v>
      </c>
      <c r="S50" s="62">
        <f t="shared" si="28"/>
        <v>0.77942015814966981</v>
      </c>
      <c r="T50" s="62">
        <f t="shared" si="28"/>
        <v>1.6943252171091157</v>
      </c>
      <c r="U50" s="62">
        <f t="shared" si="28"/>
        <v>1.7262711115104146</v>
      </c>
      <c r="V50" s="62">
        <f t="shared" si="28"/>
        <v>1.7585757300723177</v>
      </c>
      <c r="W50" s="62">
        <f t="shared" si="28"/>
        <v>1.7912426439867051</v>
      </c>
      <c r="X50" s="62">
        <f t="shared" si="28"/>
        <v>1.8242754495309637</v>
      </c>
      <c r="Y50" s="62">
        <f t="shared" si="28"/>
        <v>1.857677767973791</v>
      </c>
      <c r="Z50" s="62">
        <f t="shared" si="28"/>
        <v>1.8914532454714503</v>
      </c>
      <c r="AA50" s="62">
        <f t="shared" si="28"/>
        <v>1.9256055529541773</v>
      </c>
    </row>
    <row r="51" spans="1:28" s="42" customFormat="1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8">
      <c r="A52" t="s">
        <v>22</v>
      </c>
      <c r="C52" s="18">
        <f>+C24*$C$17</f>
        <v>7854</v>
      </c>
      <c r="D52" s="18">
        <f t="shared" ref="D52:AA52" si="29">+D24*$C$17</f>
        <v>7799.0219999999999</v>
      </c>
      <c r="E52" s="18">
        <f t="shared" si="29"/>
        <v>7744.4288459999998</v>
      </c>
      <c r="F52" s="18">
        <f t="shared" si="29"/>
        <v>7690.2178440780008</v>
      </c>
      <c r="G52" s="18">
        <f t="shared" si="29"/>
        <v>7636.3863191694536</v>
      </c>
      <c r="H52" s="18">
        <f t="shared" si="29"/>
        <v>7582.9316149352671</v>
      </c>
      <c r="I52" s="18">
        <f t="shared" si="29"/>
        <v>7529.8510936307202</v>
      </c>
      <c r="J52" s="18">
        <f t="shared" si="29"/>
        <v>7477.1421359753049</v>
      </c>
      <c r="K52" s="18">
        <f t="shared" si="29"/>
        <v>7424.8021410234787</v>
      </c>
      <c r="L52" s="18">
        <f t="shared" si="29"/>
        <v>7372.8285260363136</v>
      </c>
      <c r="M52" s="18">
        <f t="shared" si="29"/>
        <v>7321.2187263540591</v>
      </c>
      <c r="N52" s="18">
        <f t="shared" si="29"/>
        <v>7269.9701952695814</v>
      </c>
      <c r="O52" s="18">
        <f t="shared" si="29"/>
        <v>7219.0804039026943</v>
      </c>
      <c r="P52" s="18">
        <f t="shared" si="29"/>
        <v>7168.5468410753756</v>
      </c>
      <c r="Q52" s="18">
        <f t="shared" si="29"/>
        <v>7118.3670131878471</v>
      </c>
      <c r="R52" s="18">
        <f t="shared" si="29"/>
        <v>7068.5384440955331</v>
      </c>
      <c r="S52" s="18">
        <f t="shared" si="29"/>
        <v>7019.0586749868635</v>
      </c>
      <c r="T52" s="18">
        <f t="shared" si="29"/>
        <v>6969.9252642619558</v>
      </c>
      <c r="U52" s="18">
        <f t="shared" si="29"/>
        <v>6921.1357874121222</v>
      </c>
      <c r="V52" s="18">
        <f t="shared" si="29"/>
        <v>6872.687836900237</v>
      </c>
      <c r="W52" s="18">
        <f t="shared" si="29"/>
        <v>6824.5790220419358</v>
      </c>
      <c r="X52" s="18">
        <f t="shared" si="29"/>
        <v>6776.8069688876421</v>
      </c>
      <c r="Y52" s="18">
        <f t="shared" si="29"/>
        <v>6729.3693201054284</v>
      </c>
      <c r="Z52" s="18">
        <f t="shared" si="29"/>
        <v>6682.2637348646904</v>
      </c>
      <c r="AA52" s="18">
        <f t="shared" si="29"/>
        <v>6635.4878887206369</v>
      </c>
    </row>
    <row r="53" spans="1:28">
      <c r="A53" t="s">
        <v>23</v>
      </c>
      <c r="C53" s="18">
        <f t="shared" ref="C53:AA53" si="30">+C52*($C$18-$C$7)*C22</f>
        <v>463.38599999999997</v>
      </c>
      <c r="D53" s="18">
        <f t="shared" si="30"/>
        <v>469.34514395999997</v>
      </c>
      <c r="E53" s="18">
        <f t="shared" si="30"/>
        <v>475.38092251132554</v>
      </c>
      <c r="F53" s="18">
        <f t="shared" si="30"/>
        <v>481.49432117482127</v>
      </c>
      <c r="G53" s="18">
        <f t="shared" si="30"/>
        <v>487.68633814512935</v>
      </c>
      <c r="H53" s="18">
        <f t="shared" si="30"/>
        <v>493.95798445367575</v>
      </c>
      <c r="I53" s="18">
        <f t="shared" si="30"/>
        <v>500.31028413375003</v>
      </c>
      <c r="J53" s="18">
        <f t="shared" si="30"/>
        <v>506.74427438771005</v>
      </c>
      <c r="K53" s="18">
        <f t="shared" si="30"/>
        <v>513.26100575633609</v>
      </c>
      <c r="L53" s="18">
        <f t="shared" si="30"/>
        <v>519.86154229036254</v>
      </c>
      <c r="M53" s="18">
        <f t="shared" si="30"/>
        <v>526.54696172421654</v>
      </c>
      <c r="N53" s="18">
        <f t="shared" si="30"/>
        <v>533.31835565199003</v>
      </c>
      <c r="O53" s="18">
        <f t="shared" si="30"/>
        <v>540.17682970567466</v>
      </c>
      <c r="P53" s="18">
        <f t="shared" si="30"/>
        <v>547.12350373568961</v>
      </c>
      <c r="Q53" s="18">
        <f t="shared" si="30"/>
        <v>554.15951199373058</v>
      </c>
      <c r="R53" s="18">
        <f t="shared" si="30"/>
        <v>561.28600331797008</v>
      </c>
      <c r="S53" s="18">
        <f t="shared" si="30"/>
        <v>568.50414132063906</v>
      </c>
      <c r="T53" s="18">
        <f t="shared" si="30"/>
        <v>575.81510457802256</v>
      </c>
      <c r="U53" s="18">
        <f t="shared" si="30"/>
        <v>583.22008682289595</v>
      </c>
      <c r="V53" s="18">
        <f t="shared" si="30"/>
        <v>590.72029713943834</v>
      </c>
      <c r="W53" s="18">
        <f t="shared" si="30"/>
        <v>598.31696016065155</v>
      </c>
      <c r="X53" s="18">
        <f t="shared" si="30"/>
        <v>606.01131626831761</v>
      </c>
      <c r="Y53" s="18">
        <f t="shared" si="30"/>
        <v>613.80462179552819</v>
      </c>
      <c r="Z53" s="18">
        <f t="shared" si="30"/>
        <v>621.69814923181866</v>
      </c>
      <c r="AA53" s="18">
        <f t="shared" si="30"/>
        <v>629.69318743093982</v>
      </c>
      <c r="AB53" s="18">
        <f>SUM(C53:AA53)</f>
        <v>13561.822847690632</v>
      </c>
    </row>
    <row r="55" spans="1:28">
      <c r="C55" s="17" t="s">
        <v>17</v>
      </c>
    </row>
    <row r="56" spans="1:28">
      <c r="D56" s="33" t="s">
        <v>19</v>
      </c>
      <c r="E56" s="33"/>
      <c r="F56" s="33"/>
      <c r="G56" s="33"/>
      <c r="H56" s="33"/>
      <c r="I56" s="33"/>
      <c r="J56" s="33"/>
      <c r="K56" s="33"/>
      <c r="L56" s="33"/>
      <c r="M56" s="33"/>
    </row>
    <row r="57" spans="1:28" ht="12.95" customHeight="1">
      <c r="C57" s="15">
        <f>+G5</f>
        <v>10.473123079489385</v>
      </c>
      <c r="D57" s="14">
        <v>31000</v>
      </c>
      <c r="E57" s="14">
        <f>+D57+500</f>
        <v>31500</v>
      </c>
      <c r="F57" s="14">
        <f t="shared" ref="F57:M57" si="31">+E57+500</f>
        <v>32000</v>
      </c>
      <c r="G57" s="14">
        <f t="shared" si="31"/>
        <v>32500</v>
      </c>
      <c r="H57" s="14">
        <f t="shared" si="31"/>
        <v>33000</v>
      </c>
      <c r="I57" s="14">
        <f t="shared" si="31"/>
        <v>33500</v>
      </c>
      <c r="J57" s="14">
        <f t="shared" si="31"/>
        <v>34000</v>
      </c>
      <c r="K57" s="14">
        <f t="shared" si="31"/>
        <v>34500</v>
      </c>
      <c r="L57" s="14">
        <f t="shared" si="31"/>
        <v>35000</v>
      </c>
      <c r="M57" s="14">
        <f t="shared" si="31"/>
        <v>35500</v>
      </c>
    </row>
    <row r="58" spans="1:28" ht="12.95" customHeight="1">
      <c r="B58" s="61" t="s">
        <v>18</v>
      </c>
      <c r="C58" s="16">
        <v>800</v>
      </c>
      <c r="D58" s="6">
        <f t="dataTable" ref="D58:M67" dt2D="1" dtr="0" r1="C2" r2="C4"/>
        <v>16.307709364833169</v>
      </c>
      <c r="E58" s="6">
        <v>16.038412832608113</v>
      </c>
      <c r="F58" s="6">
        <v>15.776539450061422</v>
      </c>
      <c r="G58" s="6">
        <v>15.522031775465475</v>
      </c>
      <c r="H58" s="6">
        <v>15.274409684581414</v>
      </c>
      <c r="I58" s="6">
        <v>15.033194698587174</v>
      </c>
      <c r="J58" s="6">
        <v>14.798452805753346</v>
      </c>
      <c r="K58" s="6">
        <v>14.569679910350821</v>
      </c>
      <c r="L58" s="6">
        <v>14.3467584347712</v>
      </c>
      <c r="M58" s="6">
        <v>14.129185873309872</v>
      </c>
    </row>
    <row r="59" spans="1:28">
      <c r="B59" s="61"/>
      <c r="C59" s="16">
        <f>+C58+20</f>
        <v>820</v>
      </c>
      <c r="D59" s="6">
        <v>16.786219631054198</v>
      </c>
      <c r="E59" s="6">
        <v>16.510865356375717</v>
      </c>
      <c r="F59" s="6">
        <v>16.243306482726496</v>
      </c>
      <c r="G59" s="6">
        <v>15.983033606299198</v>
      </c>
      <c r="H59" s="6">
        <v>15.729922036918904</v>
      </c>
      <c r="I59" s="6">
        <v>15.483591813028472</v>
      </c>
      <c r="J59" s="6">
        <v>15.243609685730524</v>
      </c>
      <c r="K59" s="6">
        <v>15.009965535665227</v>
      </c>
      <c r="L59" s="6">
        <v>14.782132332353045</v>
      </c>
      <c r="M59" s="6">
        <v>14.559933981256142</v>
      </c>
    </row>
    <row r="60" spans="1:28">
      <c r="B60" s="61"/>
      <c r="C60" s="16">
        <f t="shared" ref="C60:C67" si="32">+C59+20</f>
        <v>840</v>
      </c>
      <c r="D60" s="6">
        <v>17.24849448690637</v>
      </c>
      <c r="E60" s="6">
        <v>16.966743827890816</v>
      </c>
      <c r="F60" s="6">
        <v>16.707136949377873</v>
      </c>
      <c r="G60" s="6">
        <v>16.441386486173947</v>
      </c>
      <c r="H60" s="6">
        <v>16.182626104671357</v>
      </c>
      <c r="I60" s="6">
        <v>15.930971072922645</v>
      </c>
      <c r="J60" s="6">
        <v>15.685972125522834</v>
      </c>
      <c r="K60" s="6">
        <v>15.447258995316588</v>
      </c>
      <c r="L60" s="6">
        <v>15.214610018059355</v>
      </c>
      <c r="M60" s="6">
        <v>14.987859153950323</v>
      </c>
    </row>
    <row r="61" spans="1:28">
      <c r="B61" s="61"/>
      <c r="C61" s="16">
        <f t="shared" si="32"/>
        <v>860</v>
      </c>
      <c r="D61" s="6">
        <v>17.7222776411297</v>
      </c>
      <c r="E61" s="6">
        <v>17.43445042334157</v>
      </c>
      <c r="F61" s="6">
        <v>17.154936028662132</v>
      </c>
      <c r="G61" s="6">
        <v>16.883126767388777</v>
      </c>
      <c r="H61" s="6">
        <v>16.632848787482345</v>
      </c>
      <c r="I61" s="6">
        <v>16.375801548479739</v>
      </c>
      <c r="J61" s="6">
        <v>16.125693891745598</v>
      </c>
      <c r="K61" s="6">
        <v>15.881994108860505</v>
      </c>
      <c r="L61" s="6">
        <v>15.644470499565626</v>
      </c>
      <c r="M61" s="6">
        <v>15.413007852054347</v>
      </c>
    </row>
    <row r="62" spans="1:28">
      <c r="B62" s="61"/>
      <c r="C62" s="16">
        <f t="shared" si="32"/>
        <v>880</v>
      </c>
      <c r="D62" s="6">
        <v>18.193906680574489</v>
      </c>
      <c r="E62" s="6">
        <v>17.899898643207734</v>
      </c>
      <c r="F62" s="6">
        <v>17.614422843197858</v>
      </c>
      <c r="G62" s="6">
        <v>17.336834880968652</v>
      </c>
      <c r="H62" s="6">
        <v>17.066834049316341</v>
      </c>
      <c r="I62" s="6">
        <v>16.818253137813592</v>
      </c>
      <c r="J62" s="6">
        <v>16.562922367418572</v>
      </c>
      <c r="K62" s="6">
        <v>16.314184875933496</v>
      </c>
      <c r="L62" s="6">
        <v>16.071832634472159</v>
      </c>
      <c r="M62" s="6">
        <v>15.835628757927267</v>
      </c>
    </row>
    <row r="63" spans="1:28">
      <c r="B63" s="61"/>
      <c r="C63" s="16">
        <f t="shared" si="32"/>
        <v>900</v>
      </c>
      <c r="D63" s="6">
        <v>18.663251152448552</v>
      </c>
      <c r="E63" s="6">
        <v>18.363181406912538</v>
      </c>
      <c r="F63" s="6">
        <v>18.071577867091062</v>
      </c>
      <c r="G63" s="6">
        <v>17.788194181248333</v>
      </c>
      <c r="H63" s="6">
        <v>17.512706159644857</v>
      </c>
      <c r="I63" s="6">
        <v>17.244811744264368</v>
      </c>
      <c r="J63" s="6">
        <v>16.984040608628248</v>
      </c>
      <c r="K63" s="6">
        <v>16.744070198078951</v>
      </c>
      <c r="L63" s="6">
        <v>16.49676161975994</v>
      </c>
      <c r="M63" s="6">
        <v>16.255970388565913</v>
      </c>
    </row>
    <row r="64" spans="1:28">
      <c r="B64" s="61"/>
      <c r="C64" s="16">
        <f t="shared" si="32"/>
        <v>920</v>
      </c>
      <c r="D64" s="6">
        <v>19.130864656084281</v>
      </c>
      <c r="E64" s="6">
        <v>18.824527343171248</v>
      </c>
      <c r="F64" s="6">
        <v>18.527010827319238</v>
      </c>
      <c r="G64" s="6">
        <v>18.237735529651253</v>
      </c>
      <c r="H64" s="6">
        <v>17.956706525947482</v>
      </c>
      <c r="I64" s="6">
        <v>17.683324326156068</v>
      </c>
      <c r="J64" s="6">
        <v>17.417117507079297</v>
      </c>
      <c r="K64" s="6">
        <v>17.158095215316933</v>
      </c>
      <c r="L64" s="6">
        <v>16.905810673156342</v>
      </c>
      <c r="M64" s="6">
        <v>16.673923387623486</v>
      </c>
    </row>
    <row r="65" spans="1:13">
      <c r="B65" s="61"/>
      <c r="C65" s="16">
        <f t="shared" si="32"/>
        <v>940</v>
      </c>
      <c r="D65" s="6">
        <v>19.596638025905783</v>
      </c>
      <c r="E65" s="6">
        <v>19.283938407557674</v>
      </c>
      <c r="F65" s="6">
        <v>18.980260335671936</v>
      </c>
      <c r="G65" s="6">
        <v>18.68531639682778</v>
      </c>
      <c r="H65" s="6">
        <v>18.398629270976279</v>
      </c>
      <c r="I65" s="6">
        <v>18.119670030375921</v>
      </c>
      <c r="J65" s="6">
        <v>17.848386441397388</v>
      </c>
      <c r="K65" s="6">
        <v>17.584127648832933</v>
      </c>
      <c r="L65" s="6">
        <v>17.326842354965144</v>
      </c>
      <c r="M65" s="6">
        <v>17.076227298702246</v>
      </c>
    </row>
    <row r="66" spans="1:13">
      <c r="B66" s="61"/>
      <c r="C66" s="16">
        <f t="shared" si="32"/>
        <v>960</v>
      </c>
      <c r="D66" s="6">
        <v>20.060535032076036</v>
      </c>
      <c r="E66" s="6">
        <v>19.741610833390343</v>
      </c>
      <c r="F66" s="6">
        <v>19.431934477782868</v>
      </c>
      <c r="G66" s="6">
        <v>19.13126388054966</v>
      </c>
      <c r="H66" s="6">
        <v>18.838788422725177</v>
      </c>
      <c r="I66" s="6">
        <v>18.554417714780673</v>
      </c>
      <c r="J66" s="6">
        <v>18.277731538213278</v>
      </c>
      <c r="K66" s="6">
        <v>18.008566008755388</v>
      </c>
      <c r="L66" s="6">
        <v>17.746185713652508</v>
      </c>
      <c r="M66" s="6">
        <v>17.490644531842982</v>
      </c>
    </row>
    <row r="67" spans="1:13">
      <c r="A67" s="32"/>
      <c r="B67" s="61"/>
      <c r="C67" s="16">
        <f t="shared" si="32"/>
        <v>980</v>
      </c>
      <c r="D67" s="6">
        <v>20.522985255287374</v>
      </c>
      <c r="E67" s="6">
        <v>20.197761438553055</v>
      </c>
      <c r="F67" s="6">
        <v>19.882048089186231</v>
      </c>
      <c r="G67" s="6">
        <v>19.575275664916518</v>
      </c>
      <c r="H67" s="6">
        <v>19.277184166296969</v>
      </c>
      <c r="I67" s="6">
        <v>18.98735571884373</v>
      </c>
      <c r="J67" s="6">
        <v>18.705355067358685</v>
      </c>
      <c r="K67" s="6">
        <v>18.430872569759028</v>
      </c>
      <c r="L67" s="6">
        <v>18.163658020085339</v>
      </c>
      <c r="M67" s="6">
        <v>17.903283048493034</v>
      </c>
    </row>
    <row r="69" spans="1:13">
      <c r="B69" s="9"/>
      <c r="C69" s="13">
        <v>10</v>
      </c>
    </row>
    <row r="70" spans="1:13">
      <c r="C70" s="13">
        <v>8</v>
      </c>
      <c r="J70" s="12"/>
    </row>
    <row r="71" spans="1:13">
      <c r="B71" s="11"/>
      <c r="C71" s="13">
        <v>7</v>
      </c>
    </row>
    <row r="72" spans="1:13">
      <c r="B72" s="10"/>
      <c r="C72" s="13"/>
    </row>
  </sheetData>
  <mergeCells count="1">
    <mergeCell ref="B58:B67"/>
  </mergeCells>
  <phoneticPr fontId="7" type="noConversion"/>
  <conditionalFormatting sqref="D58:M67">
    <cfRule type="cellIs" dxfId="2" priority="0" stopIfTrue="1" operator="greaterThan">
      <formula>$C$69</formula>
    </cfRule>
    <cfRule type="cellIs" dxfId="1" priority="0" stopIfTrue="1" operator="between">
      <formula>$C$70</formula>
      <formula>$C$71</formula>
    </cfRule>
    <cfRule type="cellIs" dxfId="0" priority="0" stopIfTrue="1" operator="lessThan">
      <formula>$C$71</formula>
    </cfRule>
  </conditionalFormatting>
  <pageMargins left="0.55118110236220474" right="0.55118110236220474" top="0.98425196850393704" bottom="0.98425196850393704" header="0.51181102362204722" footer="0.51181102362204722"/>
  <pageSetup paperSize="10" scale="68" orientation="landscape" horizontalDpi="4294967292" verticalDpi="4294967292" r:id="rId1"/>
  <headerFooter>
    <oddHeader>&amp;L&amp;G</oddHeader>
    <oddFooter>&amp;R&amp;8&amp;F  &amp;D</oddFooter>
  </headerFooter>
  <legacyDrawingHF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E1:F9"/>
  <sheetViews>
    <sheetView workbookViewId="0">
      <selection activeCell="F11" sqref="F11"/>
    </sheetView>
  </sheetViews>
  <sheetFormatPr defaultRowHeight="12.75"/>
  <sheetData>
    <row r="1" spans="5:6">
      <c r="F1">
        <f>Sheet1!C27</f>
        <v>0.36</v>
      </c>
    </row>
    <row r="4" spans="5:6">
      <c r="E4">
        <v>8000</v>
      </c>
      <c r="F4">
        <f>E4*$F$1</f>
        <v>2880</v>
      </c>
    </row>
    <row r="5" spans="5:6">
      <c r="E5">
        <v>8100</v>
      </c>
      <c r="F5">
        <f t="shared" ref="F5:F9" si="0">E5*$F$1</f>
        <v>2916</v>
      </c>
    </row>
    <row r="6" spans="5:6">
      <c r="E6">
        <v>8200</v>
      </c>
      <c r="F6">
        <f t="shared" si="0"/>
        <v>2952</v>
      </c>
    </row>
    <row r="7" spans="5:6">
      <c r="E7">
        <v>8300</v>
      </c>
      <c r="F7">
        <f t="shared" si="0"/>
        <v>2988</v>
      </c>
    </row>
    <row r="8" spans="5:6">
      <c r="E8">
        <v>8400</v>
      </c>
      <c r="F8">
        <f t="shared" si="0"/>
        <v>3024</v>
      </c>
    </row>
    <row r="9" spans="5:6">
      <c r="E9">
        <v>8500</v>
      </c>
      <c r="F9">
        <f t="shared" si="0"/>
        <v>3060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Elden</dc:creator>
  <cp:lastModifiedBy>Simon Gilhooly</cp:lastModifiedBy>
  <cp:lastPrinted>2011-01-07T18:21:04Z</cp:lastPrinted>
  <dcterms:created xsi:type="dcterms:W3CDTF">2008-11-02T14:33:29Z</dcterms:created>
  <dcterms:modified xsi:type="dcterms:W3CDTF">2011-04-27T14:16:19Z</dcterms:modified>
</cp:coreProperties>
</file>